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\\Ula\CS\Files\Pirkimai\Pirkimai\BENDROS LENTELES\Konkursai\DGN\Egidijus S\Šiauliai\2023-08-16 Poilsio g. 11A Fasado remontas\"/>
    </mc:Choice>
  </mc:AlternateContent>
  <xr:revisionPtr revIDLastSave="0" documentId="8_{A2F6F8A8-C1D8-483B-9F61-9AFD998D2133}" xr6:coauthVersionLast="47" xr6:coauthVersionMax="47" xr10:uidLastSave="{00000000-0000-0000-0000-000000000000}"/>
  <workbookProtection workbookAlgorithmName="SHA-512" workbookHashValue="EE5NwkWhkIfjwaZUzhoLTg93RgPik7fO5zwcuP8NCAYqjCGFHYMbicJkMF4iLIGXjA0FkqcKFKlwsQB1nB44dg==" workbookSaltValue="v3IMG8zZ31SoUrL12ilRvw==" workbookSpinCount="100000" lockStructure="1"/>
  <bookViews>
    <workbookView xWindow="2340" yWindow="2340" windowWidth="19740" windowHeight="13215" tabRatio="810" firstSheet="1" activeTab="1" xr2:uid="{26EE6117-6600-40D0-8D98-C5A15EB4989E}"/>
  </bookViews>
  <sheets>
    <sheet name="Support" sheetId="17" state="hidden" r:id="rId1"/>
    <sheet name="Paraiska" sheetId="15" r:id="rId2"/>
    <sheet name="Issimokejimo grafikas" sheetId="20" state="hidden" r:id="rId3"/>
    <sheet name="Darbu Sarasas" sheetId="21" r:id="rId4"/>
  </sheets>
  <definedNames>
    <definedName name="_xlnm._FilterDatabase" localSheetId="3" hidden="1">'Darbu Sarasas'!$A$1:$I$55</definedName>
    <definedName name="Apsaugos_sistemos">'Darbu Sarasas'!#REF!</definedName>
    <definedName name="Buitinės_ir_lietaus_nuotekos">'Darbu Sarasas'!#REF!</definedName>
    <definedName name="Darbo_Tipo_Grupė">'Darbu Sarasas'!#REF!</definedName>
    <definedName name="Dujotiekis__katilinės_">'Darbu Sarasas'!#REF!</definedName>
    <definedName name="Elektra">'Darbu Sarasas'!#REF!</definedName>
    <definedName name="Įėjimo_aikštelės__stogeliai">'Darbu Sarasas'!#REF!</definedName>
    <definedName name="Išorės_sienos__fasadai_">'Darbu Sarasas'!#REF!</definedName>
    <definedName name="Kaminai__vėdinimo_šachtos">'Darbu Sarasas'!#REF!</definedName>
    <definedName name="Langai_ir_durys">'Darbu Sarasas'!#REF!</definedName>
    <definedName name="Liftai">'Darbu Sarasas'!#REF!</definedName>
    <definedName name="Nuogrinda">'Darbu Sarasas'!#REF!</definedName>
    <definedName name="Pasirinkti_darbo_tipo_grupę">'Darbu Sarasas'!#REF!</definedName>
    <definedName name="Pastatų_renovacijos_darbai">'Darbu Sarasas'!#REF!</definedName>
    <definedName name="Pastatų_vidaus_paviršiai">'Darbu Sarasas'!#REF!</definedName>
    <definedName name="Priešgaisrinis_vandentiekis">'Darbu Sarasas'!#REF!</definedName>
    <definedName name="Signalizacijos__silpnos_srovės__apsauginė_ir_gaisrinė">'Darbu Sarasas'!#REF!</definedName>
    <definedName name="Stogai">'Darbu Sarasas'!#REF!</definedName>
    <definedName name="Šaltas_vandens_ir_nuotekų_tinklai">'Darbu Sarasas'!#REF!</definedName>
    <definedName name="Šalto_vandens_sistemos">'Darbu Sarasas'!#REF!</definedName>
    <definedName name="Šildymo_ir_karšto_vandens_sistemos">'Darbu Sarasas'!#REF!</definedName>
    <definedName name="Teritorija">'Darbu Sarasas'!#REF!</definedName>
    <definedName name="Vėdinimo_ir_oro_kondicionavimo_sistemos">'Darbu Sarasas'!#REF!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4" i="15" l="1"/>
  <c r="F34" i="15"/>
  <c r="E34" i="15"/>
  <c r="D34" i="15"/>
  <c r="C34" i="15"/>
  <c r="B34" i="15"/>
  <c r="N3" i="21" l="1"/>
  <c r="N2" i="21"/>
  <c r="N4" i="21" l="1"/>
  <c r="B39" i="15" s="1"/>
  <c r="S31" i="17"/>
  <c r="K3" i="21"/>
  <c r="K4" i="21"/>
  <c r="K5" i="21"/>
  <c r="K6" i="21"/>
  <c r="K7" i="21"/>
  <c r="K8" i="21"/>
  <c r="K9" i="21"/>
  <c r="K10" i="21"/>
  <c r="K11" i="21"/>
  <c r="K12" i="21"/>
  <c r="K13" i="21"/>
  <c r="K14" i="21"/>
  <c r="K15" i="21"/>
  <c r="K16" i="21"/>
  <c r="K17" i="21"/>
  <c r="K18" i="21"/>
  <c r="K19" i="21"/>
  <c r="K20" i="21"/>
  <c r="K21" i="21"/>
  <c r="K22" i="21"/>
  <c r="K23" i="21"/>
  <c r="K24" i="21"/>
  <c r="K25" i="21"/>
  <c r="K26" i="21"/>
  <c r="K27" i="21"/>
  <c r="K28" i="21"/>
  <c r="K29" i="21"/>
  <c r="K30" i="21"/>
  <c r="K31" i="21"/>
  <c r="K32" i="21"/>
  <c r="K33" i="21"/>
  <c r="K34" i="21"/>
  <c r="K35" i="21"/>
  <c r="K36" i="21"/>
  <c r="K37" i="21"/>
  <c r="K38" i="21"/>
  <c r="K39" i="21"/>
  <c r="K40" i="21"/>
  <c r="K41" i="21"/>
  <c r="K42" i="21"/>
  <c r="K43" i="21"/>
  <c r="K44" i="21"/>
  <c r="K45" i="21"/>
  <c r="K46" i="21"/>
  <c r="K47" i="21"/>
  <c r="K48" i="21"/>
  <c r="K49" i="21"/>
  <c r="K50" i="21"/>
  <c r="K51" i="21"/>
  <c r="K52" i="21"/>
  <c r="K53" i="21"/>
  <c r="K54" i="21"/>
  <c r="K55" i="21"/>
  <c r="K2" i="21"/>
  <c r="O180" i="15" l="1"/>
  <c r="O178" i="15"/>
  <c r="O184" i="15"/>
  <c r="O182" i="15"/>
  <c r="O179" i="15"/>
  <c r="O176" i="15"/>
  <c r="AE3" i="17" l="1"/>
  <c r="E39" i="15" s="1"/>
  <c r="AD3" i="17"/>
  <c r="V19" i="17" l="1"/>
  <c r="V18" i="17"/>
  <c r="A183" i="15" l="1"/>
  <c r="A184" i="15"/>
  <c r="A200" i="15"/>
  <c r="I193" i="15"/>
  <c r="B193" i="15"/>
  <c r="A195" i="15"/>
  <c r="A194" i="15"/>
  <c r="A196" i="15"/>
  <c r="V20" i="17"/>
  <c r="D15" i="15" l="1"/>
  <c r="B12" i="15"/>
  <c r="B26" i="15"/>
  <c r="G35" i="15" l="1"/>
  <c r="F35" i="15"/>
  <c r="E35" i="15"/>
  <c r="D35" i="15"/>
  <c r="C35" i="15"/>
  <c r="D16" i="15"/>
  <c r="A31" i="15"/>
  <c r="V25" i="17"/>
  <c r="V24" i="17"/>
  <c r="V23" i="17"/>
  <c r="V22" i="17"/>
  <c r="V21" i="17"/>
  <c r="W18" i="17" l="1"/>
  <c r="E12" i="15"/>
  <c r="L41" i="15"/>
  <c r="G41" i="15"/>
  <c r="F41" i="15"/>
  <c r="E41" i="15"/>
  <c r="D41" i="15"/>
  <c r="C41" i="15"/>
  <c r="I178" i="15" l="1"/>
  <c r="J178" i="15" s="1"/>
  <c r="I183" i="15"/>
  <c r="I184" i="15"/>
  <c r="B42" i="17"/>
  <c r="B183" i="15" s="1"/>
  <c r="C183" i="15" s="1"/>
  <c r="B43" i="17"/>
  <c r="B184" i="15" s="1"/>
  <c r="E231" i="17"/>
  <c r="D183" i="15" l="1"/>
  <c r="K178" i="15"/>
  <c r="J183" i="15"/>
  <c r="K183" i="15" s="1"/>
  <c r="E183" i="15"/>
  <c r="C184" i="15"/>
  <c r="D184" i="15" s="1"/>
  <c r="J184" i="15"/>
  <c r="K184" i="15" s="1"/>
  <c r="E184" i="15"/>
  <c r="I84" i="15"/>
  <c r="I92" i="15"/>
  <c r="G183" i="15" l="1"/>
  <c r="F183" i="15"/>
  <c r="B83" i="15"/>
  <c r="B231" i="17" l="1"/>
  <c r="E240" i="17" s="1"/>
  <c r="E250" i="17" s="1"/>
  <c r="G232" i="17"/>
  <c r="E238" i="17" l="1"/>
  <c r="E248" i="17" s="1"/>
  <c r="B240" i="17"/>
  <c r="B250" i="17" s="1"/>
  <c r="E239" i="17"/>
  <c r="E249" i="17" s="1"/>
  <c r="C240" i="17"/>
  <c r="C250" i="17" s="1"/>
  <c r="D236" i="17"/>
  <c r="D246" i="17" s="1"/>
  <c r="C234" i="17"/>
  <c r="C244" i="17" s="1"/>
  <c r="D239" i="17"/>
  <c r="D249" i="17" s="1"/>
  <c r="B234" i="17"/>
  <c r="B244" i="17" s="1"/>
  <c r="D238" i="17"/>
  <c r="D248" i="17" s="1"/>
  <c r="C239" i="17"/>
  <c r="C249" i="17" s="1"/>
  <c r="E237" i="17"/>
  <c r="E247" i="17" s="1"/>
  <c r="C238" i="17"/>
  <c r="C248" i="17" s="1"/>
  <c r="E236" i="17"/>
  <c r="E246" i="17" s="1"/>
  <c r="B238" i="17"/>
  <c r="B248" i="17" s="1"/>
  <c r="D235" i="17"/>
  <c r="D245" i="17" s="1"/>
  <c r="D234" i="17"/>
  <c r="D244" i="17" s="1"/>
  <c r="B236" i="17"/>
  <c r="B246" i="17" s="1"/>
  <c r="C235" i="17"/>
  <c r="C245" i="17" s="1"/>
  <c r="E234" i="17"/>
  <c r="E244" i="17" s="1"/>
  <c r="D237" i="17"/>
  <c r="D247" i="17" s="1"/>
  <c r="B239" i="17"/>
  <c r="B249" i="17" s="1"/>
  <c r="C237" i="17"/>
  <c r="C247" i="17" s="1"/>
  <c r="E235" i="17"/>
  <c r="E245" i="17" s="1"/>
  <c r="B237" i="17"/>
  <c r="B247" i="17" s="1"/>
  <c r="C236" i="17"/>
  <c r="C246" i="17" s="1"/>
  <c r="B235" i="17"/>
  <c r="B245" i="17" s="1"/>
  <c r="D240" i="17"/>
  <c r="D250" i="17" s="1"/>
  <c r="H238" i="17" l="1"/>
  <c r="G238" i="17"/>
  <c r="H237" i="17"/>
  <c r="G237" i="17"/>
  <c r="H236" i="17"/>
  <c r="G236" i="17"/>
  <c r="H235" i="17"/>
  <c r="G235" i="17"/>
  <c r="H234" i="17"/>
  <c r="G234" i="17"/>
  <c r="H233" i="17"/>
  <c r="G233" i="17"/>
  <c r="H232" i="17"/>
  <c r="I41" i="15"/>
  <c r="B181" i="17"/>
  <c r="I28" i="15"/>
  <c r="I39" i="15" l="1"/>
  <c r="D100" i="15"/>
  <c r="B134" i="17" l="1"/>
  <c r="B135" i="17"/>
  <c r="B63" i="17"/>
  <c r="B62" i="17"/>
  <c r="I42" i="15"/>
  <c r="B83" i="17" l="1"/>
  <c r="B84" i="17"/>
  <c r="E26" i="15"/>
  <c r="G12" i="15" l="1"/>
  <c r="F12" i="15"/>
  <c r="D12" i="15"/>
  <c r="C12" i="15"/>
  <c r="I27" i="15" l="1"/>
  <c r="I26" i="15"/>
  <c r="B48" i="15" l="1"/>
  <c r="I9" i="15" l="1"/>
  <c r="D217" i="17"/>
  <c r="F13" i="17" l="1"/>
  <c r="B37" i="17" s="1"/>
  <c r="D174" i="17"/>
  <c r="D173" i="17"/>
  <c r="D172" i="17"/>
  <c r="D171" i="17"/>
  <c r="B57" i="17" l="1"/>
  <c r="B45" i="17"/>
  <c r="B129" i="17"/>
  <c r="B37" i="15"/>
  <c r="B45" i="15"/>
  <c r="B78" i="17" l="1"/>
  <c r="B86" i="17" s="1"/>
  <c r="B65" i="17"/>
  <c r="B178" i="15"/>
  <c r="B186" i="15" s="1"/>
  <c r="B149" i="17"/>
  <c r="B170" i="17" s="1"/>
  <c r="C134" i="17"/>
  <c r="C135" i="17"/>
  <c r="C14" i="15"/>
  <c r="I36" i="15"/>
  <c r="I23" i="15"/>
  <c r="I24" i="15"/>
  <c r="I10" i="15"/>
  <c r="C178" i="15" l="1"/>
  <c r="C186" i="15" s="1"/>
  <c r="E178" i="15"/>
  <c r="C57" i="17"/>
  <c r="C63" i="17"/>
  <c r="D63" i="17" s="1"/>
  <c r="F184" i="15"/>
  <c r="B154" i="17"/>
  <c r="B175" i="17" s="1"/>
  <c r="B137" i="17"/>
  <c r="D135" i="17"/>
  <c r="C149" i="17"/>
  <c r="D149" i="17" s="1"/>
  <c r="C129" i="17"/>
  <c r="D129" i="17" s="1"/>
  <c r="B155" i="17"/>
  <c r="B176" i="17" s="1"/>
  <c r="D134" i="17"/>
  <c r="B16" i="15"/>
  <c r="B163" i="15"/>
  <c r="D178" i="15" l="1"/>
  <c r="D186" i="15" s="1"/>
  <c r="D57" i="17"/>
  <c r="B178" i="17"/>
  <c r="C154" i="17"/>
  <c r="C175" i="17" s="1"/>
  <c r="D137" i="17"/>
  <c r="B125" i="17" s="1"/>
  <c r="C125" i="17" s="1"/>
  <c r="C170" i="17"/>
  <c r="D170" i="17" s="1"/>
  <c r="C137" i="17"/>
  <c r="C155" i="17"/>
  <c r="D155" i="17" s="1"/>
  <c r="B15" i="15"/>
  <c r="I32" i="15"/>
  <c r="I31" i="15"/>
  <c r="I30" i="15"/>
  <c r="I21" i="15"/>
  <c r="I22" i="15"/>
  <c r="I25" i="15"/>
  <c r="D125" i="17" l="1"/>
  <c r="D154" i="17"/>
  <c r="D157" i="17" s="1"/>
  <c r="C176" i="17"/>
  <c r="D176" i="17" s="1"/>
  <c r="C157" i="17"/>
  <c r="D175" i="17"/>
  <c r="D163" i="15"/>
  <c r="D82" i="17"/>
  <c r="D81" i="17"/>
  <c r="D80" i="17"/>
  <c r="D79" i="17"/>
  <c r="D178" i="17" l="1"/>
  <c r="C178" i="17"/>
  <c r="I12" i="15"/>
  <c r="B165" i="17" l="1"/>
  <c r="C165" i="17" s="1"/>
  <c r="E154" i="15"/>
  <c r="E155" i="15" s="1"/>
  <c r="I147" i="15"/>
  <c r="I145" i="15"/>
  <c r="I144" i="15"/>
  <c r="I143" i="15"/>
  <c r="I142" i="15"/>
  <c r="I141" i="15"/>
  <c r="I140" i="15"/>
  <c r="I139" i="15"/>
  <c r="I137" i="15"/>
  <c r="I136" i="15"/>
  <c r="I134" i="15"/>
  <c r="I133" i="15"/>
  <c r="I33" i="15"/>
  <c r="I29" i="15"/>
  <c r="D165" i="17" l="1"/>
  <c r="E83" i="15"/>
  <c r="E156" i="15"/>
  <c r="I83" i="15" l="1"/>
  <c r="I11" i="15" l="1"/>
  <c r="I146" i="15" l="1"/>
  <c r="B154" i="15" l="1"/>
  <c r="B155" i="15" s="1"/>
  <c r="I154" i="15" l="1"/>
  <c r="B162" i="15"/>
  <c r="B164" i="15" l="1"/>
  <c r="B167" i="15" s="1"/>
  <c r="I155" i="15"/>
  <c r="C162" i="15"/>
  <c r="D162" i="15" s="1"/>
  <c r="B169" i="15" l="1"/>
  <c r="D14" i="15" l="1"/>
  <c r="B14" i="15" l="1"/>
  <c r="I5" i="17"/>
  <c r="B156" i="15" l="1"/>
  <c r="I156" i="15" s="1"/>
  <c r="B148" i="15" l="1"/>
  <c r="I148" i="15" l="1"/>
  <c r="B149" i="15"/>
  <c r="I149" i="15" s="1"/>
  <c r="B166" i="15"/>
  <c r="B170" i="15"/>
  <c r="B168" i="15"/>
  <c r="C163" i="15" l="1"/>
  <c r="C164" i="15" s="1"/>
  <c r="D164" i="15" s="1"/>
  <c r="C166" i="15" l="1"/>
  <c r="D166" i="15" s="1"/>
  <c r="C168" i="15"/>
  <c r="D168" i="15" s="1"/>
  <c r="C169" i="15"/>
  <c r="D169" i="15" s="1"/>
  <c r="C170" i="15"/>
  <c r="D170" i="15" s="1"/>
  <c r="C167" i="15"/>
  <c r="D167" i="15" s="1"/>
  <c r="I34" i="15" l="1"/>
  <c r="D3" i="20"/>
  <c r="C9" i="20" l="1"/>
  <c r="B46" i="15"/>
  <c r="B47" i="15" s="1"/>
  <c r="I35" i="15"/>
  <c r="I37" i="15"/>
  <c r="E194" i="17" l="1"/>
  <c r="E195" i="17"/>
  <c r="B195" i="17"/>
  <c r="B157" i="17"/>
  <c r="C10" i="20"/>
  <c r="D6" i="20"/>
  <c r="C42" i="17"/>
  <c r="C43" i="17"/>
  <c r="C37" i="17"/>
  <c r="C84" i="17" l="1"/>
  <c r="D84" i="17" s="1"/>
  <c r="D43" i="17"/>
  <c r="D42" i="17"/>
  <c r="C45" i="17"/>
  <c r="C78" i="17"/>
  <c r="D37" i="17"/>
  <c r="B145" i="17"/>
  <c r="C145" i="17" s="1"/>
  <c r="B194" i="17"/>
  <c r="G184" i="15"/>
  <c r="B64" i="15"/>
  <c r="C62" i="17"/>
  <c r="C65" i="17" s="1"/>
  <c r="C11" i="20"/>
  <c r="G178" i="15"/>
  <c r="D45" i="17" l="1"/>
  <c r="B33" i="17" s="1"/>
  <c r="D78" i="17"/>
  <c r="D62" i="17"/>
  <c r="D65" i="17" s="1"/>
  <c r="B65" i="15"/>
  <c r="B66" i="15" s="1"/>
  <c r="C83" i="17"/>
  <c r="D83" i="17" s="1"/>
  <c r="D145" i="17"/>
  <c r="B200" i="17" s="1"/>
  <c r="F178" i="15"/>
  <c r="C12" i="20"/>
  <c r="D86" i="17" l="1"/>
  <c r="C86" i="17"/>
  <c r="E200" i="17"/>
  <c r="B196" i="17"/>
  <c r="C33" i="17"/>
  <c r="D33" i="17" s="1"/>
  <c r="E64" i="15"/>
  <c r="I188" i="15" s="1"/>
  <c r="C13" i="20"/>
  <c r="E196" i="17" l="1"/>
  <c r="B89" i="15"/>
  <c r="B53" i="17"/>
  <c r="C53" i="17" s="1"/>
  <c r="E65" i="15"/>
  <c r="B73" i="17"/>
  <c r="I64" i="15"/>
  <c r="C14" i="20"/>
  <c r="B117" i="15"/>
  <c r="I117" i="15" s="1"/>
  <c r="E66" i="15" l="1"/>
  <c r="E203" i="15" s="1"/>
  <c r="I189" i="15"/>
  <c r="B203" i="15"/>
  <c r="D53" i="17"/>
  <c r="I65" i="15"/>
  <c r="I66" i="15" s="1"/>
  <c r="B114" i="15"/>
  <c r="I114" i="15" s="1"/>
  <c r="C73" i="17"/>
  <c r="D73" i="17" s="1"/>
  <c r="C15" i="20"/>
  <c r="B194" i="15" l="1"/>
  <c r="E89" i="15"/>
  <c r="I203" i="15" s="1"/>
  <c r="I190" i="15"/>
  <c r="B70" i="15"/>
  <c r="E194" i="15" s="1"/>
  <c r="C16" i="20"/>
  <c r="B71" i="15" l="1"/>
  <c r="B53" i="15" s="1"/>
  <c r="B195" i="15"/>
  <c r="I89" i="15"/>
  <c r="E70" i="15"/>
  <c r="B201" i="17"/>
  <c r="C17" i="20"/>
  <c r="I194" i="15" l="1"/>
  <c r="B72" i="15"/>
  <c r="B86" i="15" s="1"/>
  <c r="E195" i="15"/>
  <c r="B196" i="15"/>
  <c r="E71" i="15"/>
  <c r="E72" i="15" s="1"/>
  <c r="B202" i="17"/>
  <c r="E201" i="17"/>
  <c r="E202" i="17" s="1"/>
  <c r="E188" i="17" s="1"/>
  <c r="I70" i="15"/>
  <c r="C18" i="20"/>
  <c r="B58" i="15" l="1"/>
  <c r="B77" i="15" s="1"/>
  <c r="B200" i="15"/>
  <c r="I196" i="15"/>
  <c r="E200" i="15"/>
  <c r="E196" i="15"/>
  <c r="I195" i="15"/>
  <c r="B188" i="17"/>
  <c r="B189" i="17" s="1"/>
  <c r="B190" i="17" s="1"/>
  <c r="E207" i="17"/>
  <c r="E189" i="17"/>
  <c r="E190" i="17" s="1"/>
  <c r="E206" i="17"/>
  <c r="I71" i="15"/>
  <c r="B38" i="15"/>
  <c r="C19" i="20"/>
  <c r="B40" i="15" l="1"/>
  <c r="B88" i="15" s="1"/>
  <c r="B59" i="15"/>
  <c r="B201" i="15" s="1"/>
  <c r="B76" i="15"/>
  <c r="B78" i="15" s="1"/>
  <c r="B202" i="15"/>
  <c r="C216" i="17"/>
  <c r="B207" i="17"/>
  <c r="B206" i="17"/>
  <c r="E58" i="15"/>
  <c r="E208" i="17"/>
  <c r="E86" i="15"/>
  <c r="B115" i="15"/>
  <c r="I115" i="15" s="1"/>
  <c r="B118" i="15"/>
  <c r="I118" i="15" s="1"/>
  <c r="I38" i="15"/>
  <c r="I72" i="15"/>
  <c r="C20" i="20"/>
  <c r="C21" i="20" s="1"/>
  <c r="C22" i="20" s="1"/>
  <c r="C23" i="20" s="1"/>
  <c r="C24" i="20" s="1"/>
  <c r="C25" i="20" s="1"/>
  <c r="C26" i="20" s="1"/>
  <c r="C27" i="20" s="1"/>
  <c r="C28" i="20" s="1"/>
  <c r="C29" i="20" s="1"/>
  <c r="C30" i="20" s="1"/>
  <c r="C31" i="20" s="1"/>
  <c r="C32" i="20" s="1"/>
  <c r="C33" i="20" s="1"/>
  <c r="C34" i="20" s="1"/>
  <c r="C35" i="20" s="1"/>
  <c r="C36" i="20" s="1"/>
  <c r="C37" i="20" s="1"/>
  <c r="C38" i="20" s="1"/>
  <c r="C39" i="20" s="1"/>
  <c r="C40" i="20" s="1"/>
  <c r="C41" i="20" s="1"/>
  <c r="C42" i="20" s="1"/>
  <c r="C43" i="20" s="1"/>
  <c r="C44" i="20" s="1"/>
  <c r="C45" i="20" s="1"/>
  <c r="C46" i="20" s="1"/>
  <c r="C47" i="20" s="1"/>
  <c r="C48" i="20" s="1"/>
  <c r="C49" i="20" s="1"/>
  <c r="C50" i="20" s="1"/>
  <c r="C51" i="20" s="1"/>
  <c r="C52" i="20" s="1"/>
  <c r="C53" i="20" s="1"/>
  <c r="C54" i="20" s="1"/>
  <c r="C55" i="20" s="1"/>
  <c r="C56" i="20" s="1"/>
  <c r="B87" i="15" l="1"/>
  <c r="B60" i="15"/>
  <c r="B82" i="15" s="1"/>
  <c r="B85" i="15" s="1"/>
  <c r="B99" i="15"/>
  <c r="C99" i="15"/>
  <c r="I86" i="15"/>
  <c r="I200" i="15"/>
  <c r="E40" i="15"/>
  <c r="B208" i="17"/>
  <c r="E59" i="15"/>
  <c r="B216" i="17"/>
  <c r="E77" i="15"/>
  <c r="I77" i="15" s="1"/>
  <c r="E76" i="15"/>
  <c r="I58" i="15"/>
  <c r="B113" i="15"/>
  <c r="B90" i="15" l="1"/>
  <c r="B91" i="15" s="1"/>
  <c r="B93" i="15" s="1"/>
  <c r="B100" i="15"/>
  <c r="C100" i="15" s="1"/>
  <c r="C101" i="15" s="1"/>
  <c r="E202" i="15"/>
  <c r="E60" i="15"/>
  <c r="E82" i="15" s="1"/>
  <c r="E85" i="15" s="1"/>
  <c r="E201" i="15"/>
  <c r="E88" i="15"/>
  <c r="I202" i="15" s="1"/>
  <c r="I40" i="15"/>
  <c r="D99" i="15"/>
  <c r="E254" i="17" s="1"/>
  <c r="E87" i="15"/>
  <c r="I87" i="15" s="1"/>
  <c r="I59" i="15"/>
  <c r="I60" i="15" s="1"/>
  <c r="B217" i="17"/>
  <c r="B218" i="17" s="1"/>
  <c r="D216" i="17"/>
  <c r="D218" i="17" s="1"/>
  <c r="E78" i="15"/>
  <c r="I78" i="15" s="1"/>
  <c r="I76" i="15"/>
  <c r="B119" i="15"/>
  <c r="I119" i="15" s="1"/>
  <c r="I113" i="15"/>
  <c r="B112" i="15"/>
  <c r="C106" i="15" l="1"/>
  <c r="C104" i="15"/>
  <c r="C103" i="15"/>
  <c r="C105" i="15" s="1"/>
  <c r="B101" i="15"/>
  <c r="B106" i="15" s="1"/>
  <c r="B254" i="17"/>
  <c r="D101" i="15"/>
  <c r="D103" i="15" s="1"/>
  <c r="D105" i="15" s="1"/>
  <c r="D223" i="17"/>
  <c r="D221" i="17"/>
  <c r="B223" i="17"/>
  <c r="B221" i="17"/>
  <c r="I201" i="15"/>
  <c r="C217" i="17"/>
  <c r="C218" i="17" s="1"/>
  <c r="D220" i="17"/>
  <c r="C15" i="15" s="1"/>
  <c r="B220" i="17"/>
  <c r="B222" i="17" s="1"/>
  <c r="I88" i="15"/>
  <c r="I112" i="15"/>
  <c r="B121" i="15"/>
  <c r="E90" i="15"/>
  <c r="I85" i="15"/>
  <c r="D4" i="20" s="1"/>
  <c r="I82" i="15"/>
  <c r="B103" i="15" l="1"/>
  <c r="B105" i="15" s="1"/>
  <c r="B104" i="15"/>
  <c r="C107" i="15"/>
  <c r="E53" i="15"/>
  <c r="I53" i="15" s="1"/>
  <c r="D104" i="15"/>
  <c r="D106" i="15"/>
  <c r="D222" i="17"/>
  <c r="C223" i="17"/>
  <c r="C221" i="17"/>
  <c r="D107" i="15"/>
  <c r="B43" i="15" s="1"/>
  <c r="C220" i="17"/>
  <c r="C222" i="17" s="1"/>
  <c r="D224" i="17"/>
  <c r="B224" i="17"/>
  <c r="D9" i="20"/>
  <c r="B122" i="15"/>
  <c r="I122" i="15" s="1"/>
  <c r="I121" i="15"/>
  <c r="E91" i="15"/>
  <c r="E93" i="15" s="1"/>
  <c r="I93" i="15" s="1"/>
  <c r="I90" i="15"/>
  <c r="B107" i="15" l="1"/>
  <c r="I43" i="15"/>
  <c r="C224" i="17"/>
  <c r="E9" i="20"/>
  <c r="F9" i="20" s="1"/>
  <c r="D10" i="20" s="1"/>
  <c r="I91" i="15"/>
  <c r="E10" i="20" l="1"/>
  <c r="F10" i="20" s="1"/>
  <c r="D11" i="20" s="1"/>
  <c r="E11" i="20" l="1"/>
  <c r="F11" i="20" s="1"/>
  <c r="D12" i="20" s="1"/>
  <c r="E12" i="20" s="1"/>
  <c r="F12" i="20" s="1"/>
  <c r="D13" i="20" s="1"/>
  <c r="E13" i="20" s="1"/>
  <c r="F13" i="20" s="1"/>
  <c r="D14" i="20" s="1"/>
  <c r="E14" i="20" l="1"/>
  <c r="F14" i="20" s="1"/>
  <c r="D15" i="20" s="1"/>
  <c r="E15" i="20" l="1"/>
  <c r="F15" i="20" s="1"/>
  <c r="D16" i="20" s="1"/>
  <c r="E16" i="20" l="1"/>
  <c r="F16" i="20" s="1"/>
  <c r="D17" i="20" s="1"/>
  <c r="E17" i="20" l="1"/>
  <c r="F17" i="20" s="1"/>
  <c r="D18" i="20" s="1"/>
  <c r="E18" i="20" l="1"/>
  <c r="F18" i="20" s="1"/>
  <c r="D19" i="20" s="1"/>
  <c r="E19" i="20" l="1"/>
  <c r="F19" i="20" s="1"/>
  <c r="D20" i="20" s="1"/>
  <c r="E20" i="20" l="1"/>
  <c r="F20" i="20" s="1"/>
  <c r="D21" i="20" s="1"/>
  <c r="E21" i="20" l="1"/>
  <c r="F21" i="20" s="1"/>
  <c r="D22" i="20" s="1"/>
  <c r="E22" i="20" l="1"/>
  <c r="F22" i="20" s="1"/>
  <c r="D23" i="20" s="1"/>
  <c r="E23" i="20" l="1"/>
  <c r="F23" i="20" s="1"/>
  <c r="D24" i="20" s="1"/>
  <c r="E24" i="20" l="1"/>
  <c r="F24" i="20" s="1"/>
  <c r="D25" i="20" s="1"/>
  <c r="E25" i="20" l="1"/>
  <c r="F25" i="20" s="1"/>
  <c r="D26" i="20" s="1"/>
  <c r="E26" i="20" l="1"/>
  <c r="F26" i="20" s="1"/>
  <c r="D27" i="20" s="1"/>
  <c r="E27" i="20" l="1"/>
  <c r="F27" i="20" s="1"/>
  <c r="D28" i="20" s="1"/>
  <c r="E28" i="20" l="1"/>
  <c r="F28" i="20" s="1"/>
  <c r="D29" i="20" s="1"/>
  <c r="E29" i="20" l="1"/>
  <c r="F29" i="20" s="1"/>
  <c r="D30" i="20" s="1"/>
  <c r="E30" i="20" l="1"/>
  <c r="F30" i="20" s="1"/>
  <c r="D31" i="20" s="1"/>
  <c r="E31" i="20" l="1"/>
  <c r="F31" i="20" s="1"/>
  <c r="D32" i="20" s="1"/>
  <c r="E32" i="20" l="1"/>
  <c r="F32" i="20" s="1"/>
  <c r="D33" i="20" s="1"/>
  <c r="E33" i="20" l="1"/>
  <c r="F33" i="20" s="1"/>
  <c r="D34" i="20" s="1"/>
  <c r="E34" i="20" l="1"/>
  <c r="F34" i="20" s="1"/>
  <c r="D35" i="20" s="1"/>
  <c r="E35" i="20" l="1"/>
  <c r="F35" i="20" s="1"/>
  <c r="D36" i="20" s="1"/>
  <c r="E36" i="20" l="1"/>
  <c r="F36" i="20" s="1"/>
  <c r="D37" i="20" s="1"/>
  <c r="E37" i="20" l="1"/>
  <c r="F37" i="20" s="1"/>
  <c r="D38" i="20" s="1"/>
  <c r="E38" i="20" l="1"/>
  <c r="F38" i="20" s="1"/>
  <c r="D39" i="20" s="1"/>
  <c r="E39" i="20" l="1"/>
  <c r="F39" i="20" s="1"/>
  <c r="D40" i="20" s="1"/>
  <c r="E40" i="20" l="1"/>
  <c r="F40" i="20" s="1"/>
  <c r="D41" i="20" s="1"/>
  <c r="E41" i="20" l="1"/>
  <c r="F41" i="20" s="1"/>
  <c r="D42" i="20" s="1"/>
  <c r="E42" i="20" l="1"/>
  <c r="F42" i="20" s="1"/>
  <c r="D43" i="20" s="1"/>
  <c r="E43" i="20" l="1"/>
  <c r="F43" i="20" s="1"/>
  <c r="D44" i="20" s="1"/>
  <c r="E44" i="20" l="1"/>
  <c r="F44" i="20" s="1"/>
  <c r="D45" i="20" s="1"/>
  <c r="E45" i="20" l="1"/>
  <c r="F45" i="20" s="1"/>
  <c r="D46" i="20" s="1"/>
  <c r="E46" i="20" l="1"/>
  <c r="F46" i="20" s="1"/>
  <c r="D47" i="20" s="1"/>
  <c r="E47" i="20" l="1"/>
  <c r="F47" i="20" s="1"/>
  <c r="D48" i="20" s="1"/>
  <c r="E48" i="20" l="1"/>
  <c r="F48" i="20" s="1"/>
  <c r="D49" i="20" s="1"/>
  <c r="E49" i="20" l="1"/>
  <c r="F49" i="20" s="1"/>
  <c r="D50" i="20" s="1"/>
  <c r="E50" i="20" l="1"/>
  <c r="F50" i="20" s="1"/>
  <c r="D51" i="20" s="1"/>
  <c r="E51" i="20" l="1"/>
  <c r="F51" i="20" s="1"/>
  <c r="D52" i="20" s="1"/>
  <c r="E52" i="20" l="1"/>
  <c r="F52" i="20" s="1"/>
  <c r="D53" i="20" s="1"/>
  <c r="E53" i="20" l="1"/>
  <c r="F53" i="20" s="1"/>
  <c r="D54" i="20" s="1"/>
  <c r="E54" i="20" l="1"/>
  <c r="F54" i="20" s="1"/>
  <c r="D55" i="20" s="1"/>
  <c r="E55" i="20" l="1"/>
  <c r="F55" i="20" s="1"/>
  <c r="D56" i="20" s="1"/>
  <c r="E56" i="20" l="1"/>
  <c r="E57" i="20" s="1"/>
  <c r="F56" i="20" l="1"/>
</calcChain>
</file>

<file path=xl/sharedStrings.xml><?xml version="1.0" encoding="utf-8"?>
<sst xmlns="http://schemas.openxmlformats.org/spreadsheetml/2006/main" count="996" uniqueCount="337">
  <si>
    <t>Pasirinkimas</t>
  </si>
  <si>
    <t>PVM moketojas</t>
  </si>
  <si>
    <t>PVM moketojas - PVM neapmokestinama veikla (ne rangos darbai)</t>
  </si>
  <si>
    <t>Ne PVM moketojas - rangos darbai</t>
  </si>
  <si>
    <t>Ne PVM moketojas - ne rangos darbai</t>
  </si>
  <si>
    <t>PVM moketojasTAIP</t>
  </si>
  <si>
    <t>OK</t>
  </si>
  <si>
    <t>NE</t>
  </si>
  <si>
    <t>PVM moketojasNE</t>
  </si>
  <si>
    <t>TAIP</t>
  </si>
  <si>
    <t>Ne PVM moketojas - rangos darbaiNE</t>
  </si>
  <si>
    <t>Ne PVM moketojas - rangos darbaiTAIP</t>
  </si>
  <si>
    <t>Minimali kaina kv.m., EUR</t>
  </si>
  <si>
    <t>PVM moketojas - PVM neapmokestinama veikla (ne rangos darbai)NE</t>
  </si>
  <si>
    <t>12 men. (1m.)</t>
  </si>
  <si>
    <t>Be issimokejimo termino</t>
  </si>
  <si>
    <t>Minimali nemokumo riba</t>
  </si>
  <si>
    <t>PVM moketojas - PVM neapmokestinama veikla (ne rangos darbai)TAIP</t>
  </si>
  <si>
    <t>18 men. (1.5m.)</t>
  </si>
  <si>
    <t>Ne PVM moketojas - ne rangos darbaiNE</t>
  </si>
  <si>
    <t>24 men. (2m.)</t>
  </si>
  <si>
    <t>Ne PVM moketojas - ne rangos darbaiTAIP</t>
  </si>
  <si>
    <t>30 men. (2.5m.)</t>
  </si>
  <si>
    <t>36 men. (3m.)</t>
  </si>
  <si>
    <t>Ne PVM moketojas - ne rangos darbai VS kaupiamosios ir kiti avansai</t>
  </si>
  <si>
    <t>42 men. (3.5m.)</t>
  </si>
  <si>
    <t>(kai &lt;1, reiškia, kad kaupiamųjų ir kitų avansų yra daugiau nei Rangovo išrašomos sąskaitos be išsimokėjimo)</t>
  </si>
  <si>
    <t>48 men. (4m.)</t>
  </si>
  <si>
    <t>Pirkimai</t>
  </si>
  <si>
    <t>CS2021P</t>
  </si>
  <si>
    <t>Bendra</t>
  </si>
  <si>
    <t>CSSE48</t>
  </si>
  <si>
    <t>1-5</t>
  </si>
  <si>
    <t>6</t>
  </si>
  <si>
    <t>7</t>
  </si>
  <si>
    <t>Bendras</t>
  </si>
  <si>
    <t>Rėžio, į kurį patenka suma, numeris</t>
  </si>
  <si>
    <t>issimokejimo terminas</t>
  </si>
  <si>
    <t>Mokestis, %</t>
  </si>
  <si>
    <t>Min. mokestis, EUR</t>
  </si>
  <si>
    <t>Faktoringo kaina</t>
  </si>
  <si>
    <t>Garantija</t>
  </si>
  <si>
    <t>Reiksmes</t>
  </si>
  <si>
    <t>Menesiai</t>
  </si>
  <si>
    <t>Nemokumo koef</t>
  </si>
  <si>
    <t>Nuo</t>
  </si>
  <si>
    <t>Iki</t>
  </si>
  <si>
    <t>Marža</t>
  </si>
  <si>
    <t>ir daugiau</t>
  </si>
  <si>
    <t>Finansuotojas finansuoja rangovo saskaita</t>
  </si>
  <si>
    <t>Tarpine rangovo saskaita (skirta faktoringo kainos apskaičiavimui)</t>
  </si>
  <si>
    <t>Suma</t>
  </si>
  <si>
    <t>PVM</t>
  </si>
  <si>
    <t>Suma su PVM</t>
  </si>
  <si>
    <t>1 - Techninis konsultavimas del optimalaus darbu įgyvendinimo</t>
  </si>
  <si>
    <t>2 - Projektines uzduoties parengimas, siekiant Rangovui tinkamai pateikti pirkimo pasiulyma</t>
  </si>
  <si>
    <t>3 - Rangovu atliktu darbu garantiniu įsipareigojimu organizavimas</t>
  </si>
  <si>
    <t>4 - Rangovu sertifikavimas (patikimu tiekeju sarasas)</t>
  </si>
  <si>
    <t>5 - Marketingines, reklamines (patikimu rangovu saraso viesinimo) paslaugos</t>
  </si>
  <si>
    <t>6 - Rangovu finansinio faktoringo organizavimas</t>
  </si>
  <si>
    <t>7 - Garantijos kastai</t>
  </si>
  <si>
    <t>Daugiabučio administratoriaus israsoma saskaita (Rangovui)</t>
  </si>
  <si>
    <t>#1 Pasirinkimas</t>
  </si>
  <si>
    <t>#2 Pasirinkimas</t>
  </si>
  <si>
    <t>Įmoniu sarasas</t>
  </si>
  <si>
    <t>Pasirinkti administratoriaus pavadinimą</t>
  </si>
  <si>
    <t>UAB „Mano Bustas Alytus“</t>
  </si>
  <si>
    <t>UAB „Mano Bustas Aukstaitija“</t>
  </si>
  <si>
    <t>UAB „Mano Bustas Dainava“</t>
  </si>
  <si>
    <t>UAB „Mano Bustas Baltija“</t>
  </si>
  <si>
    <t>UAB „Mano Bustas Sostine“</t>
  </si>
  <si>
    <t>UAB „Mano Bustas NPC“</t>
  </si>
  <si>
    <t>UAB „Mano Bustas Vilnius“</t>
  </si>
  <si>
    <t>UAB „Mano Bustas Radviliskis“</t>
  </si>
  <si>
    <t>UAB „Mano Bustas Siauliai“</t>
  </si>
  <si>
    <t>UAB „Mano Bustas Vakarai“</t>
  </si>
  <si>
    <t>UAB „Mano Bustas Klaipeda“</t>
  </si>
  <si>
    <t>UAB „Mano Bustas Neris“</t>
  </si>
  <si>
    <t>UAB „Mano Bustas Kaunas“</t>
  </si>
  <si>
    <t>UAB „Merlangas“</t>
  </si>
  <si>
    <t>Papildoma informacija apskaičiuoti išsimokėjimo terminą pagal prognozuojamą kainą</t>
  </si>
  <si>
    <t>Ar darbams suteikiamas išsimokėjimo terminas?</t>
  </si>
  <si>
    <t>REZULTATAS</t>
  </si>
  <si>
    <t>RANGOVO ISRASOMA SASKAITA (UZSAKOVUI)</t>
  </si>
  <si>
    <t>Suma be PVM</t>
  </si>
  <si>
    <t>UZSAKOVO ISRASOMA SASKAITA (RANGOVUI)</t>
  </si>
  <si>
    <t>FAKTORINGO SANAUDOS</t>
  </si>
  <si>
    <t>Faktoringo sąnaudos</t>
  </si>
  <si>
    <t>KONKURSINE KAINA</t>
  </si>
  <si>
    <t>PAPILDOMA INFORMACIJA UŽSAKOVUI:</t>
  </si>
  <si>
    <t>Gyventojams išrašomos sąskaitos faktūros</t>
  </si>
  <si>
    <t>Už visą laikotarpį - KONKURSINĖ KAINA</t>
  </si>
  <si>
    <t>Kaupiamųjų ir kitų lėšų panaudojimas</t>
  </si>
  <si>
    <t>Likusi mokėtina suma (Konkursinė kaina minus kaupiamosios ir kitos iš anksto panaudotos lėšos)</t>
  </si>
  <si>
    <t>Skaičiuojama įvertinus kaupiamąsias lėšas:</t>
  </si>
  <si>
    <t>Už vieną mėnesį (namui)</t>
  </si>
  <si>
    <t>Suma vienam kv. m. už visą laikotarpį</t>
  </si>
  <si>
    <t>Suma vienam kv. m. per vieną mėnesį</t>
  </si>
  <si>
    <t>Suma vidutinio dydžio patalpai (butui) už visą laikotarpį</t>
  </si>
  <si>
    <t>Suma vidutinio dydžio patalpai (butui) per vieną mėnesį</t>
  </si>
  <si>
    <t>Darbų antkainis</t>
  </si>
  <si>
    <t>Pardavimo kaina klientams, Eur</t>
  </si>
  <si>
    <t>Rangovo siūlomos sumos riba, EUR be PVM, kada paskaičiuojamas standartinis kominsinių tarimas</t>
  </si>
  <si>
    <t>Darbų savikaina, Eur be PVM &gt;=</t>
  </si>
  <si>
    <t>nemokumas</t>
  </si>
  <si>
    <t>PVM-PVM</t>
  </si>
  <si>
    <t>nePVM-PVM</t>
  </si>
  <si>
    <t>nePVM-nePVM</t>
  </si>
  <si>
    <t>Darbų pabrangimas, %</t>
  </si>
  <si>
    <r>
      <t xml:space="preserve">Faktinis antkainis iš </t>
    </r>
    <r>
      <rPr>
        <b/>
        <i/>
        <sz val="8"/>
        <color theme="1"/>
        <rFont val="Arial"/>
        <family val="2"/>
        <charset val="186"/>
      </rPr>
      <t>Paraiška</t>
    </r>
  </si>
  <si>
    <t>Faktinio ir standartinio antkainio skirtumas</t>
  </si>
  <si>
    <t>Pildomi laukai</t>
  </si>
  <si>
    <t>PILDOMA INDORMACIJA</t>
  </si>
  <si>
    <t>X</t>
  </si>
  <si>
    <t>AR PAGEIDAUJAMA GAUTI IŠSIMOKĖJIMĄ DARBAMS?</t>
  </si>
  <si>
    <t>Įveskite skirtingų atliekamų darbų skaičių (skirtingų mišrių PVM arba garantijos taikymas)</t>
  </si>
  <si>
    <t>RANGOVO INFORMACIJA</t>
  </si>
  <si>
    <t>Darbas #2</t>
  </si>
  <si>
    <t>Darbas #1 ir Darbas #2</t>
  </si>
  <si>
    <t>Rangovo siūloma suma, EUR be PVM</t>
  </si>
  <si>
    <t>Prognozuojama Rangovo siūloma suma, EUR be PVM</t>
  </si>
  <si>
    <t>Darbų vykdytojo PVM mokėtojo statusas</t>
  </si>
  <si>
    <r>
      <t>Ar taikomas atvirkštinis PVM? Reikšmė NE arba TAIP</t>
    </r>
    <r>
      <rPr>
        <i/>
        <u/>
        <sz val="8"/>
        <color theme="1"/>
        <rFont val="Arial"/>
        <family val="2"/>
        <charset val="186"/>
      </rPr>
      <t xml:space="preserve"> (galima tik kai rangovas yra PVM mokėtojas)</t>
    </r>
  </si>
  <si>
    <t>Rangovo tipas</t>
  </si>
  <si>
    <t>Ne PortalPRO</t>
  </si>
  <si>
    <t>UZSAKOVO INFORMACIJA</t>
  </si>
  <si>
    <t>UŽSAKOVO INFORMACIJA</t>
  </si>
  <si>
    <t>Administratoriaus pavadinimas</t>
  </si>
  <si>
    <t>Iniciatorius</t>
  </si>
  <si>
    <t>Unikalus pranešimo numeris</t>
  </si>
  <si>
    <t>Namo valdymo forma</t>
  </si>
  <si>
    <t>Namo adresas</t>
  </si>
  <si>
    <t>Darbо tipo grupė</t>
  </si>
  <si>
    <t>Darbо tipas</t>
  </si>
  <si>
    <t>Pasirinkti darbo tipą</t>
  </si>
  <si>
    <t>Naudingas namo/laiptinės plotas, kv. m</t>
  </si>
  <si>
    <t>Iš jo naudingas namo/laiptinės plotas kv. m, tenkantis jur. klientams</t>
  </si>
  <si>
    <t>Namo/laiptinės butų skaičius, vnt.</t>
  </si>
  <si>
    <t>Panaudojamos kitos iš anksto sumokamos sumos, Eur</t>
  </si>
  <si>
    <t>Minimali darbų kaina vienam kv.m. taikant išsimokėjimą</t>
  </si>
  <si>
    <t>Išsimokėjimo terminas (paskaičiuojamas automatiškai)</t>
  </si>
  <si>
    <t>Objekto nemokumas, %</t>
  </si>
  <si>
    <t>Faktoringo kaina, %</t>
  </si>
  <si>
    <t>Faktoringo kaina + PVM, EUR</t>
  </si>
  <si>
    <t>Ar darbams taikomas garantinis laikotarpis?</t>
  </si>
  <si>
    <t>Garantijos suma, sulaikoma rangovui</t>
  </si>
  <si>
    <t>Netaikyti išsimokėjimo (klientų pageidavimu) (galima tik kai įvesta Prognozuojama Rangovo siūloma suma, kuri &lt;=3300 EUR, ir Objekto nemokumas, kuris &lt;=10%)</t>
  </si>
  <si>
    <t>Reikalingas kitoks išsimokėjimo terminas, nei kad parenka skaičiuoklė (klientų pageidavimu)</t>
  </si>
  <si>
    <t>Ar reikia fin. skyriaus patvirtinimo?</t>
  </si>
  <si>
    <t>Rangovo gaunama suma</t>
  </si>
  <si>
    <t>RANGOVO IŠRAŠOMA SĄSKAITA (UŽSAKOVUI)</t>
  </si>
  <si>
    <t>UŽSAKOVO IŠRAŠOMA SĄSKAITA (RANGOVUI)</t>
  </si>
  <si>
    <t>FAKTORINGO SĄNAUDOS</t>
  </si>
  <si>
    <t>KONKURSINĖ KAINA</t>
  </si>
  <si>
    <t>PINIGU JUDEJIMAS (NURODOMAS SUTARTYJE)</t>
  </si>
  <si>
    <t>PINIGŲ JUDĖJIMAS (NURODOMAS SUTARTYJE)</t>
  </si>
  <si>
    <t>Rangovo išrašoma sąskaita (sut. 2.1)</t>
  </si>
  <si>
    <t>Kaupiamosiomis ir kitomis lėšomis apmokama dalis (sut. 2.2)</t>
  </si>
  <si>
    <t>Jur. klientų suma, surenkama per 1 mėn., apmokama dalis (sut. 2.2)</t>
  </si>
  <si>
    <t>Likusi sąskaitos dalis (be kaupiamųjų lėšų) (faktoringo atveju, faktoringuojama) (sut. 2.3)</t>
  </si>
  <si>
    <t>Faktoringo mokestis (sut. 4.1)</t>
  </si>
  <si>
    <t>Administratorius sulaiko dalį lėšų už atvirkštinį PVM (sut. 4.3)</t>
  </si>
  <si>
    <t>Administratorius sulaiko dalį lėšų už garantiją (sut. 4.2)</t>
  </si>
  <si>
    <t>Administratorius sulaiko dalį lėšų už administravimo mokesčius (sut. 4.4)</t>
  </si>
  <si>
    <t>Rangovo gaunama suma (kaupiamosios ir kitos lėšos)</t>
  </si>
  <si>
    <t>Rangovo gaunama suma (Jur. klientų suma, surenkama per 1 mėn.)</t>
  </si>
  <si>
    <t>Rangovo gaunama suma (be kaupiamųjų ir kitų lėšų (sut. 4.8))</t>
  </si>
  <si>
    <t>KONTROLĖ (UŽDARBIS)</t>
  </si>
  <si>
    <t>Rangovas</t>
  </si>
  <si>
    <t>Pardavimo pajamos</t>
  </si>
  <si>
    <t>Komisinių sąnaudos</t>
  </si>
  <si>
    <t>Administratorius</t>
  </si>
  <si>
    <t>Finansuotojas</t>
  </si>
  <si>
    <t>VMI</t>
  </si>
  <si>
    <t>Iš viso</t>
  </si>
  <si>
    <t>Kontrolė</t>
  </si>
  <si>
    <t>Darbas #1</t>
  </si>
  <si>
    <t>PortalPRO</t>
  </si>
  <si>
    <t>Rangovo gaunamos pajamos, EUR be PVM</t>
  </si>
  <si>
    <t>PVM mokėtojas</t>
  </si>
  <si>
    <t>UAB „Mano Būstas Alytus“</t>
  </si>
  <si>
    <t>Bendrija</t>
  </si>
  <si>
    <t>Naudingas namo/laiptinės plotas, kv. m.</t>
  </si>
  <si>
    <t>Panaudojama kaupiamųjų lėšų suma</t>
  </si>
  <si>
    <t>Be išsimokėjimo termino</t>
  </si>
  <si>
    <t>Sąskaita faktūra</t>
  </si>
  <si>
    <t>PortalPRO sąskaita</t>
  </si>
  <si>
    <t>PAPILDOMA INFORMACIJA ADMINISTRATORIUI:</t>
  </si>
  <si>
    <t>Už visą laikotarpį - KONKURSINĖ KAINA (panaudojus kaupiamąsias lėšas)</t>
  </si>
  <si>
    <t>PASLAUGŲ PAKETO KAINOS APSKAIČIAVIMAS</t>
  </si>
  <si>
    <t>Techninis konsultavimas dėl optimalaus darbų įgyvendinimo</t>
  </si>
  <si>
    <t>Projektinės užduoties parengimas, siekiant Rangovui tinkamai pateikti pirkimo pasiulymą</t>
  </si>
  <si>
    <t>Rangovų atliktų darbų garantinių įsipareigojimų organizavimas</t>
  </si>
  <si>
    <t>Rangovų sertifikavimas (patikimų tiekejų sąrašas)</t>
  </si>
  <si>
    <t>Marketinginės, reklaminės (patikimų rangovų sąrašo viešinimo) paslaugos</t>
  </si>
  <si>
    <r>
      <t xml:space="preserve">Čia nepildyti! </t>
    </r>
    <r>
      <rPr>
        <i/>
        <sz val="9"/>
        <color theme="1"/>
        <rFont val="Arial"/>
        <family val="2"/>
        <charset val="186"/>
      </rPr>
      <t>Pildyti tik nuspaudus vartotojo mygtuką</t>
    </r>
  </si>
  <si>
    <t>Įjungus lentelę, viršuje matysite pranešimą apie Macros aktyvavimą, visada spauskite "Enable Content"</t>
  </si>
  <si>
    <t>Informacija apie paskolą</t>
  </si>
  <si>
    <t>Mėnesiai</t>
  </si>
  <si>
    <t>Data</t>
  </si>
  <si>
    <t>Mokėjimų grafikas</t>
  </si>
  <si>
    <t>Mėnesis</t>
  </si>
  <si>
    <t>Kredito grąžinimo ir palūkanų mokėjimo data</t>
  </si>
  <si>
    <t>Kredito likutis periodo pradžioje</t>
  </si>
  <si>
    <t>Mokėtina suma</t>
  </si>
  <si>
    <t>Kredito likutis periodo pabaigoje</t>
  </si>
  <si>
    <t>Bendra mokėtina suma</t>
  </si>
  <si>
    <t>Buhalterinė sąskaita NAV</t>
  </si>
  <si>
    <t>DK sąskaita</t>
  </si>
  <si>
    <t>Darbų pavadinimai</t>
  </si>
  <si>
    <t>Atvirkštinis PVM</t>
  </si>
  <si>
    <t>Apsaugos sistemų montavimas</t>
  </si>
  <si>
    <t>50108053</t>
  </si>
  <si>
    <t>Apsaugos sistemų (pultinės ir vaizdo stebėjimo kamerų) įrengimas ir montavimas</t>
  </si>
  <si>
    <t>Taikomas APVM</t>
  </si>
  <si>
    <t>Apsauginės, gaisrinės signalizacijos ir silpnų srovių sistemų instaliacijos, centralės keitimas, remontas</t>
  </si>
  <si>
    <t>Signalizacijos (silpnos srovės) apsauginė ir gaisrinė</t>
  </si>
  <si>
    <t>Š.v. tiekimo ir kanalizavimo sistemų remontas</t>
  </si>
  <si>
    <t>501087</t>
  </si>
  <si>
    <t>Apsaugos sistemos</t>
  </si>
  <si>
    <t>Dujas deginančių įr. papild.</t>
  </si>
  <si>
    <t>5010898</t>
  </si>
  <si>
    <t>Dujotiekio sistemos vamzdynų ir įrangos remontas</t>
  </si>
  <si>
    <t>Balkonų, terasų grindų ir konstrukcijų remontas</t>
  </si>
  <si>
    <t>Išorės sienos (fasadai)</t>
  </si>
  <si>
    <t>Elektros instaliacijos remontas</t>
  </si>
  <si>
    <t>501089</t>
  </si>
  <si>
    <t>Elektros skydinės renovacija, atnaujinimas</t>
  </si>
  <si>
    <t>Dujotiekis (katilinės)</t>
  </si>
  <si>
    <t>Elektra</t>
  </si>
  <si>
    <t>Laiptinės apskaitos skydelių atnaujinimas, remontas</t>
  </si>
  <si>
    <t>Fasado mūro sienų atstatymas</t>
  </si>
  <si>
    <t>Magistralinių elektros instaliacijos laidų keitimas</t>
  </si>
  <si>
    <t>Gaisrinių žarnų ir čiaupų patikra, perkantavimas ir bandymas</t>
  </si>
  <si>
    <t>Priešgaisrinis vandentiekis</t>
  </si>
  <si>
    <t>Rūsio elektros instaliacijos, apšvietimo atnaujinimas, remontas</t>
  </si>
  <si>
    <t>Įėjimo į laiptinę stogelio remontas</t>
  </si>
  <si>
    <t>Įėjimo aikštelės, stogeliai</t>
  </si>
  <si>
    <t>Telefonspynės įrengimas</t>
  </si>
  <si>
    <t>Laiptinių/rūsio įėjimo durų keitimas</t>
  </si>
  <si>
    <t>Langai ir durys</t>
  </si>
  <si>
    <t>Kelio užtvaro, vartų automatikos remontas, įrengimas</t>
  </si>
  <si>
    <t>Pastatų išorės sienų, stogų, balkonų, inžinierinių sistemų renovacija ir atnaujinimas</t>
  </si>
  <si>
    <t>Pastatų renovacijos darbai</t>
  </si>
  <si>
    <t>Staliaus ir bendrastatybiniai</t>
  </si>
  <si>
    <t>501088</t>
  </si>
  <si>
    <t>Laiptinės įėjimo aikštelės, laiptų remontas</t>
  </si>
  <si>
    <t>Pastatų išorės sienų siūlių hermetizavimas</t>
  </si>
  <si>
    <t>Išorės sienų (fasado) apdailos remonto darbai</t>
  </si>
  <si>
    <t>Netaikomas APVM</t>
  </si>
  <si>
    <t>Išorės sienų (fasado) šiltinimo darbai</t>
  </si>
  <si>
    <t>Pastato konstrukcijų būklės vertinimas</t>
  </si>
  <si>
    <t>Kaminų, vėdinimo šachtų remontas</t>
  </si>
  <si>
    <t>Kaminai, vėdinimo šachtos</t>
  </si>
  <si>
    <t>Kanalizacijos ir nuotekos tinklų vamzdynų remontas</t>
  </si>
  <si>
    <t>Buitinės ir lietaus nuotekos</t>
  </si>
  <si>
    <t>Karšto vandens, cirkuliacinio ir šildymo magistralinių vamzdžių keitimo darbai</t>
  </si>
  <si>
    <t>Šildymo ir karšto vandens sistemos</t>
  </si>
  <si>
    <t>Kelio užtvaro montavimas (bendrastatybinė dalys)</t>
  </si>
  <si>
    <t>Teritorija</t>
  </si>
  <si>
    <t>Siūlių remontas</t>
  </si>
  <si>
    <t>501083</t>
  </si>
  <si>
    <t>Kondicionavimo sistemų papildymas šaldymo skysčiu</t>
  </si>
  <si>
    <t>Vėdinimo ir oro kondicionavimo sistemos</t>
  </si>
  <si>
    <t>Tarpblokinių siūlių hermetizavimas</t>
  </si>
  <si>
    <t>Kondicionierių montavimas</t>
  </si>
  <si>
    <t>Stogo remontas</t>
  </si>
  <si>
    <t>501081</t>
  </si>
  <si>
    <t xml:space="preserve">Laipinės apdaila dekoratyviniu tinku </t>
  </si>
  <si>
    <t>Pastatų vidaus paviršiai</t>
  </si>
  <si>
    <t>Langų/durų keitimas</t>
  </si>
  <si>
    <t>501084</t>
  </si>
  <si>
    <t>Laiptinės langų keitimas</t>
  </si>
  <si>
    <t>Laiptinės apšvietimo atnaujinimas (šviestuvai su davikliais)</t>
  </si>
  <si>
    <t>Liftų remontas</t>
  </si>
  <si>
    <t>5010801</t>
  </si>
  <si>
    <t>Liftų montavimas, modernizavimas (nauji liftai)</t>
  </si>
  <si>
    <t>Lietaus nuvedimo sistemos keitimas (latakai, lietvamzdžiai)</t>
  </si>
  <si>
    <t>Stogai</t>
  </si>
  <si>
    <t>Liftų įrangos ir prietaisų keitimas, remontas</t>
  </si>
  <si>
    <t>Liftai</t>
  </si>
  <si>
    <t>Pastatų renovacija</t>
  </si>
  <si>
    <t>5010893</t>
  </si>
  <si>
    <t>Laiptinių priežiūra ir remontas</t>
  </si>
  <si>
    <t>501085</t>
  </si>
  <si>
    <t>Priešgaisrinių sistemų papild.</t>
  </si>
  <si>
    <t>5010897</t>
  </si>
  <si>
    <t>Priešgaisrinio vandentiekio sistemos vamzdyno ir čiaupų remontas</t>
  </si>
  <si>
    <t>Pastatų nuogrindos įrengimas, remontas</t>
  </si>
  <si>
    <t>Nuogrinda</t>
  </si>
  <si>
    <t>Pastatų vidaus paviršių apdailos remontas (dažymas, tinkavimas)</t>
  </si>
  <si>
    <t>Plieninių laiptinės durų su telefonspyne montavimas</t>
  </si>
  <si>
    <t>Projektavimo darbai (išorės sienos (fasadai), balkonai, perdangos)</t>
  </si>
  <si>
    <t>Vandens valymo įrangos įrengimas su filtrais</t>
  </si>
  <si>
    <t>Projektavimo darbai (šalto vandens, buitinių ir lietaus nuotekų sistemos)</t>
  </si>
  <si>
    <t>Šalto vandens ir nuotekų tinklai</t>
  </si>
  <si>
    <t>Pultinė apsauga</t>
  </si>
  <si>
    <t>5010896</t>
  </si>
  <si>
    <t>Projektavimo darbai (šildymo ir karšto vandens sistemos, šilumos punktai)</t>
  </si>
  <si>
    <t>Šildymo ir kv. sistemos remontas</t>
  </si>
  <si>
    <t>501086</t>
  </si>
  <si>
    <t>Projektavimo darbai (stogai)</t>
  </si>
  <si>
    <t>Šildymo ir karšto vandens sistemų stovų vamzdynų keitimas</t>
  </si>
  <si>
    <t>Prilydomos stogo dangos keitimas, apšiltinimas</t>
  </si>
  <si>
    <t>Slėgio perkričio reguliatoriaus ir privirinamos sklendės keitimo darbai</t>
  </si>
  <si>
    <t>Šalto vandens ir nuotekų tinklų vamzdynų remontas</t>
  </si>
  <si>
    <t>Šildymo sistemos skirstomojo vamzdyno remontas</t>
  </si>
  <si>
    <t>Šalto vandens sistemos vamzdynų keitimas (magistralinių, stovų, skirstomojo)</t>
  </si>
  <si>
    <t>Šalto vandens sistemos</t>
  </si>
  <si>
    <t>Šilumos punkto įrangos keitimas, remontas (valdiklių, dvieigių vožtuvų, pavarų, siurblių, šilumokaičių)</t>
  </si>
  <si>
    <t>Stogo dangos ir konstrukcijų kapitalinis remontas</t>
  </si>
  <si>
    <t>Šlaitinio stogo dangos keitimas (čerpių, šiferio, plieno)</t>
  </si>
  <si>
    <t>Vėdinimo ir oro kondicionavimo</t>
  </si>
  <si>
    <t>5010891</t>
  </si>
  <si>
    <t>Vėdinimo ir oro kondicionavimo sistemų remontas</t>
  </si>
  <si>
    <t xml:space="preserve">Šalto vandens sistemos </t>
  </si>
  <si>
    <t>UAB „Mano Busto Prieziura“</t>
  </si>
  <si>
    <t>Projektavimo darbai ( elektros tinklai ir įrenginiai)</t>
  </si>
  <si>
    <t>Statinių konstrukcijų techninė apžiūra, tyrimai, periodinis patikrinimas, ekspertizės</t>
  </si>
  <si>
    <t>Pasirinkite garantijos (draudimo) taikymą</t>
  </si>
  <si>
    <t>Taikomas garantinis sulaikymas</t>
  </si>
  <si>
    <t>Darbų garantinių trūkumų (defektų) pašalinimo draudimas</t>
  </si>
  <si>
    <t>Ar taikomas garantinis laikotarpis (draudimas)?*</t>
  </si>
  <si>
    <t>Darbo tipai, kuriems niekada netaikomas nei garantinis sulaikymas, nei draudimas</t>
  </si>
  <si>
    <t>Ar pasirinktas vienas iš šių darbo tipų?</t>
  </si>
  <si>
    <t>Ar pasirinktos tinkamos darbų garantijos sąlygos, pagal pasirinktą darbo tipą?</t>
  </si>
  <si>
    <t>Netaikoma</t>
  </si>
  <si>
    <t>Į kurį garantinio sulaikymo (draudimo) pasirinkimų rėžį patenka pasirinktas darbas?</t>
  </si>
  <si>
    <t>Ar pasirinktas darbo tipas, kuriam netaikomas nei garantinis laikotarpis, nei draudimas?</t>
  </si>
  <si>
    <t>Ar pasirinktas garantijos (draudimo) taikymas?</t>
  </si>
  <si>
    <t>Susigrąžinama PVM dydžio suma, EUR</t>
  </si>
  <si>
    <t>UŽSAKOVO IŠRAŠOMA SĄSKAITA (RANGOVUI), BENDRA SUMA</t>
  </si>
  <si>
    <t>PRADZIA</t>
  </si>
  <si>
    <t>Evelina Andrušaitienė</t>
  </si>
  <si>
    <t>V22-2036604</t>
  </si>
  <si>
    <t>Namo administratorius</t>
  </si>
  <si>
    <t>Poilsio g. 11A, Aukštelkės 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</si>
</sst>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0.0%"/>
    <numFmt numFmtId="167" formatCode="_-* #,##0.00\ _L_t_-;\-* #,##0.00\ _L_t_-;_-* &quot;-&quot;??\ _L_t_-;_-@_-"/>
    <numFmt numFmtId="168" formatCode="0.0000"/>
    <numFmt numFmtId="169" formatCode="_-* #,##0\ &quot;€&quot;_-;\-* #,##0\ &quot;€&quot;_-;_-* &quot;-&quot;??\ &quot;€&quot;_-;_-@_-"/>
    <numFmt numFmtId="170" formatCode="#,##0.00\ &quot;€&quot;"/>
  </numFmts>
  <fonts count="2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8"/>
      <color theme="1"/>
      <name val="Arial"/>
      <family val="2"/>
      <charset val="186"/>
    </font>
    <font>
      <b/>
      <sz val="8"/>
      <color theme="1"/>
      <name val="Arial"/>
      <family val="2"/>
      <charset val="186"/>
    </font>
    <font>
      <sz val="8"/>
      <color rgb="FFFF0000"/>
      <name val="Arial"/>
      <family val="2"/>
      <charset val="186"/>
    </font>
    <font>
      <b/>
      <sz val="8"/>
      <color theme="0"/>
      <name val="Arial"/>
      <family val="2"/>
      <charset val="186"/>
    </font>
    <font>
      <sz val="8"/>
      <color theme="0"/>
      <name val="Arial"/>
      <family val="2"/>
      <charset val="186"/>
    </font>
    <font>
      <sz val="8"/>
      <color theme="0" tint="-0.499984740745262"/>
      <name val="Arial"/>
      <family val="2"/>
      <charset val="186"/>
    </font>
    <font>
      <sz val="8"/>
      <name val="Arial"/>
      <family val="2"/>
      <charset val="186"/>
    </font>
    <font>
      <b/>
      <sz val="8"/>
      <name val="Arial"/>
      <family val="2"/>
      <charset val="186"/>
    </font>
    <font>
      <i/>
      <u/>
      <sz val="8"/>
      <color theme="1"/>
      <name val="Arial"/>
      <family val="2"/>
      <charset val="186"/>
    </font>
    <font>
      <b/>
      <sz val="6"/>
      <color theme="0"/>
      <name val="Arial"/>
      <family val="2"/>
      <charset val="186"/>
    </font>
    <font>
      <sz val="8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b/>
      <sz val="8"/>
      <color rgb="FF0070C0"/>
      <name val="Arial"/>
      <family val="2"/>
      <charset val="186"/>
    </font>
    <font>
      <b/>
      <i/>
      <sz val="8"/>
      <name val="Arial"/>
      <family val="2"/>
      <charset val="186"/>
    </font>
    <font>
      <i/>
      <sz val="11"/>
      <color rgb="FFFF0000"/>
      <name val="Arial"/>
      <family val="2"/>
      <charset val="186"/>
    </font>
    <font>
      <i/>
      <sz val="10"/>
      <name val="Arial"/>
      <family val="2"/>
      <charset val="186"/>
    </font>
    <font>
      <b/>
      <i/>
      <sz val="8"/>
      <color theme="1"/>
      <name val="Arial"/>
      <family val="2"/>
      <charset val="186"/>
    </font>
    <font>
      <b/>
      <i/>
      <sz val="8"/>
      <color rgb="FFFF0000"/>
      <name val="Arial"/>
      <family val="2"/>
      <charset val="186"/>
    </font>
    <font>
      <u/>
      <sz val="8"/>
      <color theme="1"/>
      <name val="Arial"/>
      <family val="2"/>
      <charset val="186"/>
    </font>
    <font>
      <b/>
      <u/>
      <sz val="8"/>
      <color theme="1"/>
      <name val="Arial"/>
      <family val="2"/>
      <charset val="186"/>
    </font>
    <font>
      <b/>
      <sz val="8"/>
      <color rgb="FFFF0000"/>
      <name val="Arial"/>
      <family val="2"/>
      <charset val="186"/>
    </font>
    <font>
      <b/>
      <u/>
      <sz val="8"/>
      <color rgb="FFFF0000"/>
      <name val="Arial"/>
      <family val="2"/>
      <charset val="186"/>
    </font>
    <font>
      <i/>
      <sz val="9"/>
      <color theme="1"/>
      <name val="Arial"/>
      <family val="2"/>
      <charset val="186"/>
    </font>
    <font>
      <sz val="11"/>
      <color rgb="FF000000"/>
      <name val="Calibri"/>
      <family val="2"/>
      <charset val="186"/>
    </font>
    <font>
      <b/>
      <sz val="11"/>
      <color theme="1"/>
      <name val="Calibri"/>
      <family val="2"/>
      <charset val="186"/>
      <scheme val="minor"/>
    </font>
    <font>
      <i/>
      <sz val="8"/>
      <color rgb="FFFF0000"/>
      <name val="Arial"/>
      <family val="2"/>
      <charset val="186"/>
    </font>
    <font>
      <b/>
      <i/>
      <u/>
      <sz val="8"/>
      <color rgb="FFFF0000"/>
      <name val="Arial"/>
      <family val="2"/>
      <charset val="186"/>
    </font>
  </fonts>
  <fills count="2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rgb="FFF4909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375623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/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3" fillId="12" borderId="0" applyNumberFormat="0" applyBorder="0" applyAlignment="0" applyProtection="0"/>
    <xf numFmtId="0" fontId="1" fillId="13" borderId="0" applyNumberFormat="0" applyBorder="0" applyAlignment="0" applyProtection="0"/>
    <xf numFmtId="164" fontId="1" fillId="0" borderId="0" applyFont="0" applyFill="0" applyBorder="0" applyAlignment="0" applyProtection="0"/>
  </cellStyleXfs>
  <cellXfs count="520">
    <xf numFmtId="0" fontId="0" fillId="0" borderId="0" xfId="0"/>
    <xf numFmtId="0" fontId="2" fillId="0" borderId="0" xfId="0" applyFont="1" applyProtection="1">
      <protection locked="0"/>
    </xf>
    <xf numFmtId="0" fontId="6" fillId="6" borderId="29" xfId="0" applyFont="1" applyFill="1" applyBorder="1" applyProtection="1">
      <protection locked="0"/>
    </xf>
    <xf numFmtId="0" fontId="6" fillId="6" borderId="31" xfId="0" applyFont="1" applyFill="1" applyBorder="1" applyProtection="1">
      <protection locked="0"/>
    </xf>
    <xf numFmtId="0" fontId="6" fillId="6" borderId="28" xfId="0" applyFont="1" applyFill="1" applyBorder="1" applyProtection="1">
      <protection locked="0"/>
    </xf>
    <xf numFmtId="0" fontId="5" fillId="6" borderId="29" xfId="0" applyFont="1" applyFill="1" applyBorder="1" applyProtection="1">
      <protection locked="0"/>
    </xf>
    <xf numFmtId="0" fontId="6" fillId="0" borderId="0" xfId="0" applyFont="1" applyProtection="1">
      <protection locked="0"/>
    </xf>
    <xf numFmtId="0" fontId="2" fillId="0" borderId="0" xfId="0" applyFont="1"/>
    <xf numFmtId="0" fontId="8" fillId="0" borderId="0" xfId="0" applyFont="1"/>
    <xf numFmtId="0" fontId="11" fillId="6" borderId="0" xfId="0" applyFont="1" applyFill="1" applyAlignment="1">
      <alignment horizontal="center" vertical="center" wrapText="1"/>
    </xf>
    <xf numFmtId="4" fontId="2" fillId="0" borderId="50" xfId="0" applyNumberFormat="1" applyFont="1" applyBorder="1" applyAlignment="1">
      <alignment vertical="center"/>
    </xf>
    <xf numFmtId="4" fontId="2" fillId="0" borderId="19" xfId="0" applyNumberFormat="1" applyFont="1" applyBorder="1" applyAlignment="1">
      <alignment vertical="center"/>
    </xf>
    <xf numFmtId="4" fontId="2" fillId="7" borderId="21" xfId="0" applyNumberFormat="1" applyFont="1" applyFill="1" applyBorder="1" applyAlignment="1">
      <alignment vertical="center"/>
    </xf>
    <xf numFmtId="4" fontId="2" fillId="0" borderId="0" xfId="0" applyNumberFormat="1" applyFont="1" applyAlignment="1">
      <alignment vertical="center"/>
    </xf>
    <xf numFmtId="0" fontId="2" fillId="0" borderId="9" xfId="0" applyFont="1" applyBorder="1"/>
    <xf numFmtId="14" fontId="2" fillId="0" borderId="0" xfId="0" applyNumberFormat="1" applyFont="1" applyProtection="1">
      <protection hidden="1"/>
    </xf>
    <xf numFmtId="4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14" fontId="2" fillId="0" borderId="9" xfId="0" applyNumberFormat="1" applyFont="1" applyBorder="1" applyProtection="1">
      <protection hidden="1"/>
    </xf>
    <xf numFmtId="4" fontId="2" fillId="0" borderId="9" xfId="0" applyNumberFormat="1" applyFont="1" applyBorder="1" applyProtection="1">
      <protection hidden="1"/>
    </xf>
    <xf numFmtId="0" fontId="3" fillId="0" borderId="0" xfId="0" applyFont="1" applyAlignment="1" applyProtection="1">
      <alignment horizontal="right"/>
      <protection hidden="1"/>
    </xf>
    <xf numFmtId="4" fontId="3" fillId="0" borderId="0" xfId="0" applyNumberFormat="1" applyFont="1" applyProtection="1">
      <protection hidden="1"/>
    </xf>
    <xf numFmtId="0" fontId="8" fillId="0" borderId="7" xfId="0" applyFont="1" applyBorder="1" applyProtection="1">
      <protection hidden="1"/>
    </xf>
    <xf numFmtId="0" fontId="2" fillId="0" borderId="8" xfId="0" applyFont="1" applyBorder="1" applyProtection="1">
      <protection hidden="1"/>
    </xf>
    <xf numFmtId="0" fontId="2" fillId="5" borderId="0" xfId="0" applyFont="1" applyFill="1" applyProtection="1">
      <protection hidden="1"/>
    </xf>
    <xf numFmtId="4" fontId="2" fillId="5" borderId="0" xfId="0" applyNumberFormat="1" applyFont="1" applyFill="1" applyProtection="1">
      <protection hidden="1"/>
    </xf>
    <xf numFmtId="0" fontId="2" fillId="5" borderId="8" xfId="0" applyFont="1" applyFill="1" applyBorder="1" applyProtection="1">
      <protection hidden="1"/>
    </xf>
    <xf numFmtId="0" fontId="2" fillId="0" borderId="7" xfId="0" applyFont="1" applyBorder="1" applyProtection="1">
      <protection hidden="1"/>
    </xf>
    <xf numFmtId="0" fontId="3" fillId="0" borderId="0" xfId="0" applyFont="1" applyProtection="1">
      <protection hidden="1"/>
    </xf>
    <xf numFmtId="0" fontId="6" fillId="0" borderId="0" xfId="0" applyFont="1" applyProtection="1">
      <protection hidden="1"/>
    </xf>
    <xf numFmtId="16" fontId="3" fillId="0" borderId="0" xfId="0" quotePrefix="1" applyNumberFormat="1" applyFont="1" applyProtection="1">
      <protection hidden="1"/>
    </xf>
    <xf numFmtId="16" fontId="3" fillId="0" borderId="0" xfId="0" applyNumberFormat="1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3" fillId="0" borderId="7" xfId="0" applyFont="1" applyBorder="1" applyProtection="1">
      <protection hidden="1"/>
    </xf>
    <xf numFmtId="0" fontId="3" fillId="0" borderId="0" xfId="0" applyFont="1" applyAlignment="1" applyProtection="1">
      <alignment horizontal="center"/>
      <protection hidden="1"/>
    </xf>
    <xf numFmtId="166" fontId="2" fillId="0" borderId="0" xfId="1" applyNumberFormat="1" applyFont="1" applyBorder="1" applyProtection="1">
      <protection hidden="1"/>
    </xf>
    <xf numFmtId="3" fontId="2" fillId="0" borderId="0" xfId="0" applyNumberFormat="1" applyFont="1" applyProtection="1">
      <protection hidden="1"/>
    </xf>
    <xf numFmtId="9" fontId="2" fillId="0" borderId="0" xfId="0" applyNumberFormat="1" applyFont="1" applyProtection="1">
      <protection hidden="1"/>
    </xf>
    <xf numFmtId="0" fontId="6" fillId="9" borderId="7" xfId="0" applyFont="1" applyFill="1" applyBorder="1" applyProtection="1">
      <protection hidden="1"/>
    </xf>
    <xf numFmtId="0" fontId="5" fillId="9" borderId="0" xfId="0" applyFont="1" applyFill="1" applyProtection="1">
      <protection hidden="1"/>
    </xf>
    <xf numFmtId="0" fontId="6" fillId="9" borderId="0" xfId="0" applyFont="1" applyFill="1" applyProtection="1">
      <protection hidden="1"/>
    </xf>
    <xf numFmtId="0" fontId="6" fillId="9" borderId="8" xfId="0" applyFont="1" applyFill="1" applyBorder="1" applyProtection="1">
      <protection hidden="1"/>
    </xf>
    <xf numFmtId="0" fontId="3" fillId="2" borderId="13" xfId="0" applyFont="1" applyFill="1" applyBorder="1" applyProtection="1">
      <protection hidden="1"/>
    </xf>
    <xf numFmtId="3" fontId="3" fillId="2" borderId="13" xfId="0" applyNumberFormat="1" applyFont="1" applyFill="1" applyBorder="1" applyProtection="1">
      <protection hidden="1"/>
    </xf>
    <xf numFmtId="0" fontId="2" fillId="2" borderId="13" xfId="0" applyFont="1" applyFill="1" applyBorder="1" applyProtection="1">
      <protection hidden="1"/>
    </xf>
    <xf numFmtId="3" fontId="2" fillId="2" borderId="13" xfId="0" applyNumberFormat="1" applyFont="1" applyFill="1" applyBorder="1" applyProtection="1">
      <protection hidden="1"/>
    </xf>
    <xf numFmtId="2" fontId="2" fillId="0" borderId="0" xfId="0" applyNumberFormat="1" applyFont="1" applyProtection="1">
      <protection hidden="1"/>
    </xf>
    <xf numFmtId="4" fontId="3" fillId="0" borderId="29" xfId="0" applyNumberFormat="1" applyFont="1" applyBorder="1" applyProtection="1">
      <protection hidden="1"/>
    </xf>
    <xf numFmtId="0" fontId="2" fillId="0" borderId="9" xfId="0" applyFont="1" applyBorder="1" applyProtection="1">
      <protection hidden="1"/>
    </xf>
    <xf numFmtId="3" fontId="3" fillId="0" borderId="0" xfId="0" applyNumberFormat="1" applyFont="1" applyProtection="1">
      <protection hidden="1"/>
    </xf>
    <xf numFmtId="0" fontId="2" fillId="0" borderId="10" xfId="0" applyFont="1" applyBorder="1" applyProtection="1">
      <protection hidden="1"/>
    </xf>
    <xf numFmtId="0" fontId="3" fillId="0" borderId="8" xfId="0" applyFont="1" applyBorder="1" applyProtection="1">
      <protection hidden="1"/>
    </xf>
    <xf numFmtId="0" fontId="3" fillId="0" borderId="0" xfId="0" applyFont="1" applyProtection="1">
      <protection locked="0"/>
    </xf>
    <xf numFmtId="0" fontId="3" fillId="5" borderId="0" xfId="0" applyFont="1" applyFill="1" applyProtection="1">
      <protection hidden="1"/>
    </xf>
    <xf numFmtId="9" fontId="3" fillId="5" borderId="0" xfId="0" applyNumberFormat="1" applyFont="1" applyFill="1" applyProtection="1">
      <protection hidden="1"/>
    </xf>
    <xf numFmtId="0" fontId="2" fillId="0" borderId="0" xfId="0" applyFont="1" applyAlignment="1" applyProtection="1">
      <alignment horizontal="left"/>
      <protection hidden="1"/>
    </xf>
    <xf numFmtId="0" fontId="8" fillId="0" borderId="0" xfId="0" applyFont="1" applyProtection="1">
      <protection hidden="1"/>
    </xf>
    <xf numFmtId="4" fontId="8" fillId="0" borderId="0" xfId="0" applyNumberFormat="1" applyFont="1" applyProtection="1">
      <protection hidden="1"/>
    </xf>
    <xf numFmtId="14" fontId="6" fillId="0" borderId="0" xfId="0" applyNumberFormat="1" applyFont="1" applyProtection="1">
      <protection hidden="1"/>
    </xf>
    <xf numFmtId="0" fontId="2" fillId="12" borderId="52" xfId="4" applyFont="1" applyBorder="1"/>
    <xf numFmtId="0" fontId="2" fillId="12" borderId="0" xfId="4" applyFont="1"/>
    <xf numFmtId="0" fontId="2" fillId="0" borderId="52" xfId="5" applyFont="1" applyFill="1" applyBorder="1"/>
    <xf numFmtId="0" fontId="2" fillId="0" borderId="53" xfId="0" applyFont="1" applyBorder="1"/>
    <xf numFmtId="0" fontId="2" fillId="0" borderId="52" xfId="0" applyFont="1" applyBorder="1"/>
    <xf numFmtId="0" fontId="3" fillId="0" borderId="9" xfId="0" applyFont="1" applyBorder="1" applyProtection="1">
      <protection hidden="1"/>
    </xf>
    <xf numFmtId="4" fontId="2" fillId="0" borderId="0" xfId="0" applyNumberFormat="1" applyFont="1" applyAlignment="1" applyProtection="1">
      <alignment horizontal="left"/>
      <protection hidden="1"/>
    </xf>
    <xf numFmtId="165" fontId="8" fillId="0" borderId="0" xfId="2" applyFont="1" applyProtection="1">
      <protection hidden="1"/>
    </xf>
    <xf numFmtId="0" fontId="9" fillId="0" borderId="0" xfId="0" applyFont="1" applyProtection="1">
      <protection hidden="1"/>
    </xf>
    <xf numFmtId="4" fontId="9" fillId="0" borderId="0" xfId="0" applyNumberFormat="1" applyFont="1" applyProtection="1">
      <protection hidden="1"/>
    </xf>
    <xf numFmtId="0" fontId="3" fillId="0" borderId="13" xfId="0" applyFont="1" applyBorder="1" applyAlignment="1" applyProtection="1">
      <alignment horizontal="center"/>
      <protection hidden="1"/>
    </xf>
    <xf numFmtId="0" fontId="3" fillId="0" borderId="20" xfId="0" applyFont="1" applyBorder="1" applyAlignment="1" applyProtection="1">
      <alignment horizontal="center"/>
      <protection hidden="1"/>
    </xf>
    <xf numFmtId="0" fontId="3" fillId="0" borderId="19" xfId="0" applyFont="1" applyBorder="1" applyAlignment="1" applyProtection="1">
      <alignment horizontal="center"/>
      <protection hidden="1"/>
    </xf>
    <xf numFmtId="4" fontId="2" fillId="0" borderId="19" xfId="0" applyNumberFormat="1" applyFont="1" applyBorder="1" applyAlignment="1" applyProtection="1">
      <alignment horizontal="center"/>
      <protection hidden="1"/>
    </xf>
    <xf numFmtId="4" fontId="2" fillId="0" borderId="21" xfId="0" applyNumberFormat="1" applyFont="1" applyBorder="1" applyAlignment="1" applyProtection="1">
      <alignment horizontal="center"/>
      <protection hidden="1"/>
    </xf>
    <xf numFmtId="4" fontId="2" fillId="0" borderId="22" xfId="0" applyNumberFormat="1" applyFont="1" applyBorder="1" applyAlignment="1" applyProtection="1">
      <alignment horizontal="center"/>
      <protection hidden="1"/>
    </xf>
    <xf numFmtId="4" fontId="2" fillId="0" borderId="23" xfId="0" applyNumberFormat="1" applyFont="1" applyBorder="1" applyAlignment="1" applyProtection="1">
      <alignment horizontal="center"/>
      <protection hidden="1"/>
    </xf>
    <xf numFmtId="0" fontId="5" fillId="9" borderId="2" xfId="0" applyFont="1" applyFill="1" applyBorder="1" applyAlignment="1" applyProtection="1">
      <alignment horizontal="center" vertical="center"/>
      <protection locked="0"/>
    </xf>
    <xf numFmtId="0" fontId="5" fillId="9" borderId="43" xfId="0" applyFont="1" applyFill="1" applyBorder="1" applyAlignment="1" applyProtection="1">
      <alignment horizontal="center" vertical="center"/>
      <protection locked="0"/>
    </xf>
    <xf numFmtId="0" fontId="5" fillId="9" borderId="44" xfId="0" applyFont="1" applyFill="1" applyBorder="1" applyAlignment="1" applyProtection="1">
      <alignment horizontal="center" vertical="center" wrapText="1"/>
      <protection locked="0"/>
    </xf>
    <xf numFmtId="0" fontId="2" fillId="8" borderId="13" xfId="0" applyFont="1" applyFill="1" applyBorder="1" applyProtection="1">
      <protection locked="0"/>
    </xf>
    <xf numFmtId="4" fontId="2" fillId="8" borderId="29" xfId="0" applyNumberFormat="1" applyFont="1" applyFill="1" applyBorder="1" applyProtection="1">
      <protection locked="0" hidden="1"/>
    </xf>
    <xf numFmtId="4" fontId="2" fillId="8" borderId="28" xfId="0" applyNumberFormat="1" applyFont="1" applyFill="1" applyBorder="1" applyProtection="1">
      <protection locked="0" hidden="1"/>
    </xf>
    <xf numFmtId="4" fontId="3" fillId="8" borderId="45" xfId="0" applyNumberFormat="1" applyFont="1" applyFill="1" applyBorder="1" applyProtection="1">
      <protection locked="0" hidden="1"/>
    </xf>
    <xf numFmtId="0" fontId="2" fillId="0" borderId="13" xfId="0" applyFont="1" applyBorder="1" applyProtection="1">
      <protection locked="0"/>
    </xf>
    <xf numFmtId="4" fontId="2" fillId="3" borderId="29" xfId="0" applyNumberFormat="1" applyFont="1" applyFill="1" applyBorder="1" applyProtection="1">
      <protection locked="0" hidden="1"/>
    </xf>
    <xf numFmtId="4" fontId="2" fillId="3" borderId="28" xfId="0" applyNumberFormat="1" applyFont="1" applyFill="1" applyBorder="1" applyProtection="1">
      <protection locked="0" hidden="1"/>
    </xf>
    <xf numFmtId="4" fontId="3" fillId="3" borderId="45" xfId="0" applyNumberFormat="1" applyFont="1" applyFill="1" applyBorder="1" applyProtection="1">
      <protection locked="0" hidden="1"/>
    </xf>
    <xf numFmtId="0" fontId="9" fillId="5" borderId="13" xfId="0" applyFont="1" applyFill="1" applyBorder="1" applyProtection="1">
      <protection locked="0"/>
    </xf>
    <xf numFmtId="0" fontId="2" fillId="3" borderId="13" xfId="0" applyFont="1" applyFill="1" applyBorder="1" applyProtection="1">
      <protection locked="0"/>
    </xf>
    <xf numFmtId="4" fontId="2" fillId="0" borderId="29" xfId="0" applyNumberFormat="1" applyFont="1" applyBorder="1" applyProtection="1">
      <protection locked="0" hidden="1"/>
    </xf>
    <xf numFmtId="4" fontId="2" fillId="0" borderId="28" xfId="0" applyNumberFormat="1" applyFont="1" applyBorder="1" applyProtection="1">
      <protection locked="0" hidden="1"/>
    </xf>
    <xf numFmtId="4" fontId="3" fillId="0" borderId="45" xfId="0" applyNumberFormat="1" applyFont="1" applyBorder="1" applyProtection="1">
      <protection locked="0" hidden="1"/>
    </xf>
    <xf numFmtId="0" fontId="2" fillId="3" borderId="22" xfId="0" applyFont="1" applyFill="1" applyBorder="1" applyProtection="1">
      <protection locked="0"/>
    </xf>
    <xf numFmtId="4" fontId="2" fillId="3" borderId="37" xfId="0" applyNumberFormat="1" applyFont="1" applyFill="1" applyBorder="1" applyProtection="1">
      <protection locked="0" hidden="1"/>
    </xf>
    <xf numFmtId="4" fontId="2" fillId="3" borderId="25" xfId="0" applyNumberFormat="1" applyFont="1" applyFill="1" applyBorder="1" applyProtection="1">
      <protection locked="0" hidden="1"/>
    </xf>
    <xf numFmtId="4" fontId="3" fillId="3" borderId="23" xfId="0" applyNumberFormat="1" applyFont="1" applyFill="1" applyBorder="1" applyProtection="1">
      <protection locked="0" hidden="1"/>
    </xf>
    <xf numFmtId="0" fontId="2" fillId="0" borderId="63" xfId="0" applyFont="1" applyBorder="1" applyProtection="1">
      <protection hidden="1"/>
    </xf>
    <xf numFmtId="4" fontId="2" fillId="0" borderId="63" xfId="0" applyNumberFormat="1" applyFont="1" applyBorder="1" applyProtection="1">
      <protection hidden="1"/>
    </xf>
    <xf numFmtId="4" fontId="3" fillId="0" borderId="63" xfId="0" applyNumberFormat="1" applyFont="1" applyBorder="1" applyProtection="1">
      <protection hidden="1"/>
    </xf>
    <xf numFmtId="0" fontId="2" fillId="0" borderId="64" xfId="0" applyFont="1" applyBorder="1" applyProtection="1">
      <protection hidden="1"/>
    </xf>
    <xf numFmtId="0" fontId="5" fillId="0" borderId="0" xfId="0" applyFont="1" applyAlignment="1" applyProtection="1">
      <alignment vertical="center"/>
      <protection hidden="1"/>
    </xf>
    <xf numFmtId="2" fontId="5" fillId="0" borderId="0" xfId="0" applyNumberFormat="1" applyFont="1" applyAlignment="1" applyProtection="1">
      <alignment vertical="center"/>
      <protection hidden="1"/>
    </xf>
    <xf numFmtId="4" fontId="5" fillId="0" borderId="0" xfId="0" applyNumberFormat="1" applyFont="1" applyAlignment="1" applyProtection="1">
      <alignment vertical="center"/>
      <protection hidden="1"/>
    </xf>
    <xf numFmtId="0" fontId="9" fillId="0" borderId="0" xfId="0" applyFont="1" applyAlignment="1" applyProtection="1">
      <alignment vertical="center"/>
      <protection hidden="1"/>
    </xf>
    <xf numFmtId="0" fontId="3" fillId="0" borderId="41" xfId="0" applyFont="1" applyBorder="1" applyAlignment="1">
      <alignment horizontal="left" vertical="center"/>
    </xf>
    <xf numFmtId="0" fontId="14" fillId="0" borderId="0" xfId="0" applyFont="1" applyProtection="1">
      <protection hidden="1"/>
    </xf>
    <xf numFmtId="3" fontId="8" fillId="0" borderId="0" xfId="0" applyNumberFormat="1" applyFont="1" applyProtection="1">
      <protection hidden="1"/>
    </xf>
    <xf numFmtId="2" fontId="8" fillId="0" borderId="0" xfId="0" applyNumberFormat="1" applyFont="1" applyProtection="1">
      <protection hidden="1"/>
    </xf>
    <xf numFmtId="4" fontId="2" fillId="8" borderId="29" xfId="0" applyNumberFormat="1" applyFont="1" applyFill="1" applyBorder="1" applyProtection="1">
      <protection hidden="1"/>
    </xf>
    <xf numFmtId="4" fontId="2" fillId="8" borderId="28" xfId="0" applyNumberFormat="1" applyFont="1" applyFill="1" applyBorder="1" applyProtection="1">
      <protection hidden="1"/>
    </xf>
    <xf numFmtId="4" fontId="3" fillId="8" borderId="45" xfId="0" applyNumberFormat="1" applyFont="1" applyFill="1" applyBorder="1" applyProtection="1">
      <protection hidden="1"/>
    </xf>
    <xf numFmtId="4" fontId="2" fillId="3" borderId="29" xfId="0" applyNumberFormat="1" applyFont="1" applyFill="1" applyBorder="1" applyProtection="1">
      <protection hidden="1"/>
    </xf>
    <xf numFmtId="4" fontId="2" fillId="3" borderId="28" xfId="0" applyNumberFormat="1" applyFont="1" applyFill="1" applyBorder="1" applyProtection="1">
      <protection hidden="1"/>
    </xf>
    <xf numFmtId="4" fontId="3" fillId="3" borderId="45" xfId="0" applyNumberFormat="1" applyFont="1" applyFill="1" applyBorder="1" applyProtection="1">
      <protection hidden="1"/>
    </xf>
    <xf numFmtId="4" fontId="2" fillId="0" borderId="29" xfId="0" applyNumberFormat="1" applyFont="1" applyBorder="1" applyProtection="1">
      <protection hidden="1"/>
    </xf>
    <xf numFmtId="4" fontId="2" fillId="0" borderId="28" xfId="0" applyNumberFormat="1" applyFont="1" applyBorder="1" applyProtection="1">
      <protection hidden="1"/>
    </xf>
    <xf numFmtId="4" fontId="3" fillId="0" borderId="45" xfId="0" applyNumberFormat="1" applyFont="1" applyBorder="1" applyProtection="1">
      <protection hidden="1"/>
    </xf>
    <xf numFmtId="4" fontId="2" fillId="3" borderId="37" xfId="0" applyNumberFormat="1" applyFont="1" applyFill="1" applyBorder="1" applyProtection="1">
      <protection hidden="1"/>
    </xf>
    <xf numFmtId="4" fontId="2" fillId="3" borderId="25" xfId="0" applyNumberFormat="1" applyFont="1" applyFill="1" applyBorder="1" applyProtection="1">
      <protection hidden="1"/>
    </xf>
    <xf numFmtId="4" fontId="3" fillId="3" borderId="23" xfId="0" applyNumberFormat="1" applyFont="1" applyFill="1" applyBorder="1" applyProtection="1">
      <protection hidden="1"/>
    </xf>
    <xf numFmtId="4" fontId="2" fillId="8" borderId="13" xfId="0" applyNumberFormat="1" applyFont="1" applyFill="1" applyBorder="1" applyProtection="1">
      <protection hidden="1"/>
    </xf>
    <xf numFmtId="4" fontId="3" fillId="8" borderId="20" xfId="0" applyNumberFormat="1" applyFont="1" applyFill="1" applyBorder="1" applyProtection="1">
      <protection hidden="1"/>
    </xf>
    <xf numFmtId="4" fontId="2" fillId="0" borderId="13" xfId="0" applyNumberFormat="1" applyFont="1" applyBorder="1" applyProtection="1">
      <protection hidden="1"/>
    </xf>
    <xf numFmtId="4" fontId="3" fillId="0" borderId="20" xfId="0" applyNumberFormat="1" applyFont="1" applyBorder="1" applyProtection="1">
      <protection hidden="1"/>
    </xf>
    <xf numFmtId="4" fontId="2" fillId="0" borderId="22" xfId="0" applyNumberFormat="1" applyFont="1" applyBorder="1" applyProtection="1">
      <protection hidden="1"/>
    </xf>
    <xf numFmtId="4" fontId="3" fillId="0" borderId="23" xfId="0" applyNumberFormat="1" applyFont="1" applyBorder="1" applyProtection="1">
      <protection hidden="1"/>
    </xf>
    <xf numFmtId="0" fontId="2" fillId="0" borderId="13" xfId="0" applyFont="1" applyBorder="1" applyProtection="1">
      <protection hidden="1"/>
    </xf>
    <xf numFmtId="0" fontId="16" fillId="0" borderId="4" xfId="0" applyFont="1" applyBorder="1" applyProtection="1">
      <protection hidden="1"/>
    </xf>
    <xf numFmtId="0" fontId="2" fillId="0" borderId="5" xfId="0" applyFont="1" applyBorder="1" applyProtection="1">
      <protection hidden="1"/>
    </xf>
    <xf numFmtId="0" fontId="2" fillId="0" borderId="6" xfId="0" applyFont="1" applyBorder="1" applyProtection="1">
      <protection hidden="1"/>
    </xf>
    <xf numFmtId="0" fontId="17" fillId="0" borderId="62" xfId="0" applyFont="1" applyBorder="1" applyProtection="1">
      <protection hidden="1"/>
    </xf>
    <xf numFmtId="0" fontId="2" fillId="0" borderId="0" xfId="0" applyFont="1" applyProtection="1">
      <protection locked="0" hidden="1"/>
    </xf>
    <xf numFmtId="0" fontId="2" fillId="0" borderId="0" xfId="0" applyFont="1" applyAlignment="1" applyProtection="1">
      <alignment horizontal="left"/>
      <protection locked="0" hidden="1"/>
    </xf>
    <xf numFmtId="0" fontId="8" fillId="0" borderId="0" xfId="0" applyFont="1" applyProtection="1">
      <protection locked="0" hidden="1"/>
    </xf>
    <xf numFmtId="0" fontId="2" fillId="0" borderId="7" xfId="0" applyFont="1" applyBorder="1" applyProtection="1">
      <protection locked="0"/>
    </xf>
    <xf numFmtId="0" fontId="2" fillId="0" borderId="8" xfId="0" applyFont="1" applyBorder="1" applyProtection="1">
      <protection locked="0"/>
    </xf>
    <xf numFmtId="0" fontId="5" fillId="9" borderId="7" xfId="0" applyFont="1" applyFill="1" applyBorder="1" applyProtection="1">
      <protection locked="0"/>
    </xf>
    <xf numFmtId="3" fontId="5" fillId="9" borderId="24" xfId="0" applyNumberFormat="1" applyFont="1" applyFill="1" applyBorder="1" applyProtection="1">
      <protection locked="0"/>
    </xf>
    <xf numFmtId="0" fontId="2" fillId="0" borderId="26" xfId="0" applyFont="1" applyBorder="1" applyProtection="1">
      <protection locked="0"/>
    </xf>
    <xf numFmtId="0" fontId="3" fillId="8" borderId="56" xfId="0" applyFont="1" applyFill="1" applyBorder="1" applyProtection="1">
      <protection locked="0"/>
    </xf>
    <xf numFmtId="4" fontId="2" fillId="0" borderId="0" xfId="0" applyNumberFormat="1" applyFont="1" applyProtection="1">
      <protection locked="0"/>
    </xf>
    <xf numFmtId="3" fontId="2" fillId="0" borderId="13" xfId="0" applyNumberFormat="1" applyFont="1" applyBorder="1" applyProtection="1">
      <protection locked="0"/>
    </xf>
    <xf numFmtId="3" fontId="2" fillId="0" borderId="26" xfId="0" applyNumberFormat="1" applyFont="1" applyBorder="1" applyProtection="1">
      <protection locked="0"/>
    </xf>
    <xf numFmtId="3" fontId="3" fillId="8" borderId="56" xfId="0" applyNumberFormat="1" applyFont="1" applyFill="1" applyBorder="1" applyProtection="1">
      <protection locked="0"/>
    </xf>
    <xf numFmtId="3" fontId="5" fillId="9" borderId="43" xfId="0" applyNumberFormat="1" applyFont="1" applyFill="1" applyBorder="1" applyProtection="1">
      <protection locked="0"/>
    </xf>
    <xf numFmtId="0" fontId="3" fillId="0" borderId="7" xfId="0" applyFont="1" applyBorder="1" applyProtection="1">
      <protection locked="0"/>
    </xf>
    <xf numFmtId="0" fontId="5" fillId="9" borderId="17" xfId="0" applyFont="1" applyFill="1" applyBorder="1" applyAlignment="1" applyProtection="1">
      <alignment vertical="center" wrapText="1"/>
      <protection locked="0"/>
    </xf>
    <xf numFmtId="0" fontId="2" fillId="0" borderId="65" xfId="0" applyFont="1" applyBorder="1" applyProtection="1">
      <protection locked="0"/>
    </xf>
    <xf numFmtId="0" fontId="2" fillId="0" borderId="9" xfId="0" applyFont="1" applyBorder="1" applyProtection="1">
      <protection locked="0"/>
    </xf>
    <xf numFmtId="0" fontId="2" fillId="0" borderId="10" xfId="0" applyFont="1" applyBorder="1" applyProtection="1">
      <protection locked="0"/>
    </xf>
    <xf numFmtId="0" fontId="6" fillId="16" borderId="28" xfId="0" applyFont="1" applyFill="1" applyBorder="1" applyProtection="1">
      <protection locked="0"/>
    </xf>
    <xf numFmtId="0" fontId="5" fillId="16" borderId="29" xfId="0" applyFont="1" applyFill="1" applyBorder="1" applyProtection="1">
      <protection locked="0"/>
    </xf>
    <xf numFmtId="0" fontId="6" fillId="16" borderId="29" xfId="0" applyFont="1" applyFill="1" applyBorder="1" applyProtection="1">
      <protection locked="0"/>
    </xf>
    <xf numFmtId="0" fontId="6" fillId="16" borderId="31" xfId="0" applyFont="1" applyFill="1" applyBorder="1" applyProtection="1">
      <protection locked="0"/>
    </xf>
    <xf numFmtId="0" fontId="2" fillId="0" borderId="53" xfId="5" applyFont="1" applyFill="1" applyBorder="1"/>
    <xf numFmtId="0" fontId="2" fillId="17" borderId="0" xfId="4" applyFont="1" applyFill="1"/>
    <xf numFmtId="0" fontId="2" fillId="17" borderId="52" xfId="4" applyFont="1" applyFill="1" applyBorder="1"/>
    <xf numFmtId="0" fontId="3" fillId="0" borderId="0" xfId="0" applyFont="1" applyProtection="1">
      <protection locked="0" hidden="1"/>
    </xf>
    <xf numFmtId="0" fontId="2" fillId="0" borderId="8" xfId="0" applyFont="1" applyBorder="1" applyProtection="1">
      <protection locked="0" hidden="1"/>
    </xf>
    <xf numFmtId="0" fontId="3" fillId="0" borderId="0" xfId="0" applyFont="1" applyAlignment="1" applyProtection="1">
      <alignment vertical="center"/>
      <protection hidden="1"/>
    </xf>
    <xf numFmtId="169" fontId="2" fillId="0" borderId="13" xfId="6" applyNumberFormat="1" applyFont="1" applyBorder="1" applyProtection="1">
      <protection locked="0"/>
    </xf>
    <xf numFmtId="0" fontId="3" fillId="0" borderId="13" xfId="0" applyFont="1" applyBorder="1" applyProtection="1">
      <protection locked="0"/>
    </xf>
    <xf numFmtId="10" fontId="3" fillId="0" borderId="13" xfId="0" applyNumberFormat="1" applyFont="1" applyBorder="1" applyProtection="1">
      <protection locked="0"/>
    </xf>
    <xf numFmtId="0" fontId="2" fillId="0" borderId="28" xfId="0" applyFont="1" applyBorder="1" applyProtection="1">
      <protection locked="0"/>
    </xf>
    <xf numFmtId="0" fontId="2" fillId="0" borderId="29" xfId="0" applyFont="1" applyBorder="1" applyProtection="1">
      <protection locked="0"/>
    </xf>
    <xf numFmtId="0" fontId="2" fillId="0" borderId="31" xfId="0" applyFont="1" applyBorder="1" applyProtection="1">
      <protection locked="0"/>
    </xf>
    <xf numFmtId="49" fontId="2" fillId="0" borderId="0" xfId="0" applyNumberFormat="1" applyFont="1" applyAlignment="1" applyProtection="1">
      <alignment horizontal="right"/>
      <protection locked="0"/>
    </xf>
    <xf numFmtId="10" fontId="3" fillId="0" borderId="6" xfId="0" applyNumberFormat="1" applyFont="1" applyBorder="1" applyProtection="1">
      <protection locked="0"/>
    </xf>
    <xf numFmtId="10" fontId="2" fillId="0" borderId="0" xfId="0" applyNumberFormat="1" applyFont="1" applyProtection="1">
      <protection locked="0"/>
    </xf>
    <xf numFmtId="4" fontId="7" fillId="0" borderId="28" xfId="0" applyNumberFormat="1" applyFont="1" applyBorder="1" applyAlignment="1" applyProtection="1">
      <alignment horizontal="center"/>
      <protection hidden="1"/>
    </xf>
    <xf numFmtId="4" fontId="7" fillId="0" borderId="29" xfId="0" applyNumberFormat="1" applyFont="1" applyBorder="1" applyAlignment="1" applyProtection="1">
      <alignment horizontal="center"/>
      <protection hidden="1"/>
    </xf>
    <xf numFmtId="4" fontId="7" fillId="0" borderId="61" xfId="0" applyNumberFormat="1" applyFont="1" applyBorder="1" applyAlignment="1" applyProtection="1">
      <alignment horizontal="center"/>
      <protection hidden="1"/>
    </xf>
    <xf numFmtId="0" fontId="2" fillId="0" borderId="43" xfId="0" applyFont="1" applyBorder="1" applyProtection="1">
      <protection locked="0"/>
    </xf>
    <xf numFmtId="0" fontId="2" fillId="0" borderId="2" xfId="0" applyFont="1" applyBorder="1" applyProtection="1">
      <protection locked="0"/>
    </xf>
    <xf numFmtId="0" fontId="19" fillId="0" borderId="66" xfId="0" applyFont="1" applyBorder="1" applyAlignment="1" applyProtection="1">
      <alignment horizontal="right"/>
      <protection locked="0"/>
    </xf>
    <xf numFmtId="0" fontId="20" fillId="0" borderId="7" xfId="0" applyFont="1" applyBorder="1" applyProtection="1">
      <protection locked="0"/>
    </xf>
    <xf numFmtId="4" fontId="21" fillId="0" borderId="13" xfId="0" applyNumberFormat="1" applyFont="1" applyBorder="1" applyProtection="1">
      <protection locked="0"/>
    </xf>
    <xf numFmtId="0" fontId="22" fillId="0" borderId="0" xfId="0" applyFont="1" applyAlignment="1" applyProtection="1">
      <alignment horizontal="right"/>
      <protection locked="0"/>
    </xf>
    <xf numFmtId="9" fontId="23" fillId="0" borderId="20" xfId="1" applyFont="1" applyBorder="1" applyAlignment="1" applyProtection="1">
      <alignment horizontal="left"/>
      <protection locked="0"/>
    </xf>
    <xf numFmtId="0" fontId="2" fillId="0" borderId="47" xfId="0" applyFont="1" applyBorder="1" applyProtection="1">
      <protection locked="0"/>
    </xf>
    <xf numFmtId="0" fontId="3" fillId="0" borderId="47" xfId="0" applyFont="1" applyBorder="1" applyProtection="1">
      <protection locked="0"/>
    </xf>
    <xf numFmtId="0" fontId="2" fillId="0" borderId="7" xfId="0" applyFont="1" applyBorder="1" applyAlignment="1" applyProtection="1">
      <alignment horizontal="left"/>
      <protection locked="0"/>
    </xf>
    <xf numFmtId="170" fontId="2" fillId="0" borderId="0" xfId="0" applyNumberFormat="1" applyFont="1" applyProtection="1">
      <protection locked="0"/>
    </xf>
    <xf numFmtId="170" fontId="2" fillId="0" borderId="47" xfId="0" applyNumberFormat="1" applyFont="1" applyBorder="1" applyProtection="1">
      <protection locked="0"/>
    </xf>
    <xf numFmtId="10" fontId="2" fillId="0" borderId="0" xfId="1" applyNumberFormat="1" applyFont="1" applyBorder="1" applyProtection="1">
      <protection locked="0"/>
    </xf>
    <xf numFmtId="10" fontId="2" fillId="0" borderId="47" xfId="1" applyNumberFormat="1" applyFont="1" applyBorder="1" applyProtection="1">
      <protection locked="0"/>
    </xf>
    <xf numFmtId="0" fontId="2" fillId="0" borderId="67" xfId="0" applyFont="1" applyBorder="1" applyProtection="1">
      <protection locked="0"/>
    </xf>
    <xf numFmtId="10" fontId="2" fillId="0" borderId="3" xfId="1" applyNumberFormat="1" applyFont="1" applyBorder="1" applyProtection="1">
      <protection locked="0"/>
    </xf>
    <xf numFmtId="10" fontId="2" fillId="0" borderId="11" xfId="1" applyNumberFormat="1" applyFont="1" applyBorder="1" applyProtection="1">
      <protection locked="0"/>
    </xf>
    <xf numFmtId="9" fontId="3" fillId="0" borderId="13" xfId="0" applyNumberFormat="1" applyFont="1" applyBorder="1" applyProtection="1">
      <protection locked="0"/>
    </xf>
    <xf numFmtId="0" fontId="2" fillId="5" borderId="0" xfId="0" applyFont="1" applyFill="1" applyProtection="1">
      <protection locked="0"/>
    </xf>
    <xf numFmtId="0" fontId="6" fillId="5" borderId="0" xfId="0" applyFont="1" applyFill="1" applyProtection="1">
      <protection locked="0"/>
    </xf>
    <xf numFmtId="0" fontId="8" fillId="5" borderId="0" xfId="0" applyFont="1" applyFill="1" applyProtection="1">
      <protection locked="0"/>
    </xf>
    <xf numFmtId="0" fontId="9" fillId="5" borderId="0" xfId="0" applyFont="1" applyFill="1" applyProtection="1">
      <protection locked="0"/>
    </xf>
    <xf numFmtId="16" fontId="9" fillId="5" borderId="0" xfId="0" quotePrefix="1" applyNumberFormat="1" applyFont="1" applyFill="1" applyProtection="1">
      <protection locked="0"/>
    </xf>
    <xf numFmtId="0" fontId="9" fillId="5" borderId="0" xfId="0" quotePrefix="1" applyFont="1" applyFill="1" applyProtection="1">
      <protection locked="0"/>
    </xf>
    <xf numFmtId="0" fontId="3" fillId="5" borderId="0" xfId="0" applyFont="1" applyFill="1" applyProtection="1">
      <protection locked="0"/>
    </xf>
    <xf numFmtId="3" fontId="8" fillId="5" borderId="0" xfId="0" applyNumberFormat="1" applyFont="1" applyFill="1" applyProtection="1">
      <protection locked="0"/>
    </xf>
    <xf numFmtId="166" fontId="8" fillId="5" borderId="0" xfId="0" applyNumberFormat="1" applyFont="1" applyFill="1" applyProtection="1">
      <protection locked="0"/>
    </xf>
    <xf numFmtId="0" fontId="8" fillId="0" borderId="0" xfId="0" applyFont="1" applyProtection="1">
      <protection locked="0"/>
    </xf>
    <xf numFmtId="0" fontId="9" fillId="0" borderId="13" xfId="0" applyFont="1" applyBorder="1" applyProtection="1">
      <protection hidden="1"/>
    </xf>
    <xf numFmtId="4" fontId="2" fillId="2" borderId="13" xfId="0" applyNumberFormat="1" applyFont="1" applyFill="1" applyBorder="1" applyProtection="1">
      <protection hidden="1"/>
    </xf>
    <xf numFmtId="0" fontId="8" fillId="0" borderId="13" xfId="0" applyFont="1" applyBorder="1" applyProtection="1">
      <protection hidden="1"/>
    </xf>
    <xf numFmtId="0" fontId="2" fillId="18" borderId="0" xfId="0" applyFont="1" applyFill="1" applyProtection="1">
      <protection hidden="1"/>
    </xf>
    <xf numFmtId="0" fontId="2" fillId="17" borderId="0" xfId="0" applyFont="1" applyFill="1" applyAlignment="1" applyProtection="1">
      <alignment horizontal="left"/>
      <protection hidden="1"/>
    </xf>
    <xf numFmtId="0" fontId="2" fillId="19" borderId="0" xfId="0" applyFont="1" applyFill="1" applyProtection="1">
      <protection locked="0"/>
    </xf>
    <xf numFmtId="0" fontId="2" fillId="19" borderId="13" xfId="0" applyFont="1" applyFill="1" applyBorder="1" applyProtection="1">
      <protection locked="0"/>
    </xf>
    <xf numFmtId="0" fontId="0" fillId="0" borderId="13" xfId="0" applyBorder="1" applyAlignment="1">
      <alignment wrapText="1"/>
    </xf>
    <xf numFmtId="0" fontId="0" fillId="0" borderId="13" xfId="0" applyBorder="1"/>
    <xf numFmtId="0" fontId="26" fillId="0" borderId="13" xfId="0" applyFont="1" applyBorder="1" applyAlignment="1">
      <alignment wrapText="1"/>
    </xf>
    <xf numFmtId="0" fontId="26" fillId="0" borderId="13" xfId="0" applyFont="1" applyBorder="1"/>
    <xf numFmtId="0" fontId="27" fillId="0" borderId="0" xfId="0" applyFont="1" applyProtection="1">
      <protection hidden="1"/>
    </xf>
    <xf numFmtId="0" fontId="19" fillId="0" borderId="0" xfId="0" applyFont="1" applyProtection="1">
      <protection hidden="1"/>
    </xf>
    <xf numFmtId="0" fontId="28" fillId="0" borderId="0" xfId="0" applyFont="1" applyProtection="1">
      <protection hidden="1"/>
    </xf>
    <xf numFmtId="0" fontId="2" fillId="19" borderId="13" xfId="0" applyFont="1" applyFill="1" applyBorder="1" applyAlignment="1" applyProtection="1">
      <alignment wrapText="1"/>
      <protection locked="0"/>
    </xf>
    <xf numFmtId="0" fontId="5" fillId="20" borderId="68" xfId="0" applyFont="1" applyFill="1" applyBorder="1" applyProtection="1">
      <protection hidden="1"/>
    </xf>
    <xf numFmtId="4" fontId="5" fillId="20" borderId="68" xfId="0" applyNumberFormat="1" applyFont="1" applyFill="1" applyBorder="1" applyAlignment="1" applyProtection="1">
      <alignment horizontal="center"/>
      <protection hidden="1"/>
    </xf>
    <xf numFmtId="4" fontId="2" fillId="0" borderId="13" xfId="0" applyNumberFormat="1" applyFont="1" applyBorder="1" applyAlignment="1" applyProtection="1">
      <alignment horizontal="center"/>
      <protection hidden="1"/>
    </xf>
    <xf numFmtId="4" fontId="2" fillId="0" borderId="20" xfId="0" applyNumberFormat="1" applyFont="1" applyBorder="1" applyAlignment="1" applyProtection="1">
      <alignment horizontal="center"/>
      <protection hidden="1"/>
    </xf>
    <xf numFmtId="4" fontId="7" fillId="0" borderId="4" xfId="0" applyNumberFormat="1" applyFont="1" applyBorder="1" applyAlignment="1" applyProtection="1">
      <alignment horizontal="center"/>
      <protection hidden="1"/>
    </xf>
    <xf numFmtId="4" fontId="7" fillId="0" borderId="5" xfId="0" applyNumberFormat="1" applyFont="1" applyBorder="1" applyAlignment="1" applyProtection="1">
      <alignment horizontal="center"/>
      <protection hidden="1"/>
    </xf>
    <xf numFmtId="4" fontId="7" fillId="0" borderId="39" xfId="0" applyNumberFormat="1" applyFont="1" applyBorder="1" applyAlignment="1" applyProtection="1">
      <alignment horizontal="center"/>
      <protection hidden="1"/>
    </xf>
    <xf numFmtId="0" fontId="3" fillId="0" borderId="0" xfId="0" applyFont="1"/>
    <xf numFmtId="0" fontId="5" fillId="6" borderId="0" xfId="0" applyFont="1" applyFill="1" applyAlignment="1">
      <alignment horizontal="center" vertical="center"/>
    </xf>
    <xf numFmtId="0" fontId="6" fillId="0" borderId="0" xfId="0" applyFont="1"/>
    <xf numFmtId="0" fontId="3" fillId="0" borderId="13" xfId="0" applyFont="1" applyBorder="1"/>
    <xf numFmtId="0" fontId="2" fillId="0" borderId="55" xfId="0" applyFont="1" applyBorder="1"/>
    <xf numFmtId="0" fontId="5" fillId="6" borderId="16" xfId="0" applyFont="1" applyFill="1" applyBorder="1"/>
    <xf numFmtId="0" fontId="2" fillId="0" borderId="16" xfId="0" applyFont="1" applyBorder="1" applyAlignment="1">
      <alignment horizontal="left" vertical="center"/>
    </xf>
    <xf numFmtId="0" fontId="2" fillId="0" borderId="46" xfId="0" applyFont="1" applyBorder="1"/>
    <xf numFmtId="0" fontId="2" fillId="0" borderId="19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6" borderId="35" xfId="0" applyFont="1" applyFill="1" applyBorder="1"/>
    <xf numFmtId="0" fontId="8" fillId="0" borderId="57" xfId="0" applyFont="1" applyBorder="1"/>
    <xf numFmtId="0" fontId="8" fillId="0" borderId="0" xfId="0" applyFont="1" applyAlignment="1">
      <alignment horizontal="left"/>
    </xf>
    <xf numFmtId="0" fontId="8" fillId="0" borderId="46" xfId="0" applyFont="1" applyBorder="1"/>
    <xf numFmtId="0" fontId="2" fillId="0" borderId="41" xfId="0" applyFont="1" applyBorder="1" applyAlignment="1">
      <alignment horizontal="left" vertical="center"/>
    </xf>
    <xf numFmtId="0" fontId="2" fillId="0" borderId="41" xfId="0" applyFont="1" applyBorder="1" applyAlignment="1">
      <alignment horizontal="left" vertical="center" indent="1"/>
    </xf>
    <xf numFmtId="0" fontId="2" fillId="0" borderId="0" xfId="0" applyFont="1" applyAlignment="1">
      <alignment horizontal="left"/>
    </xf>
    <xf numFmtId="0" fontId="2" fillId="0" borderId="4" xfId="0" applyFont="1" applyBorder="1"/>
    <xf numFmtId="0" fontId="2" fillId="0" borderId="5" xfId="0" applyFont="1" applyBorder="1"/>
    <xf numFmtId="0" fontId="2" fillId="5" borderId="41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9" fillId="0" borderId="57" xfId="0" applyFont="1" applyBorder="1" applyAlignment="1">
      <alignment wrapText="1"/>
    </xf>
    <xf numFmtId="0" fontId="3" fillId="0" borderId="25" xfId="0" applyFont="1" applyBorder="1" applyAlignment="1">
      <alignment horizontal="left" vertical="center"/>
    </xf>
    <xf numFmtId="0" fontId="5" fillId="9" borderId="0" xfId="0" applyFont="1" applyFill="1"/>
    <xf numFmtId="0" fontId="6" fillId="0" borderId="46" xfId="0" applyFont="1" applyBorder="1"/>
    <xf numFmtId="3" fontId="5" fillId="9" borderId="35" xfId="0" applyNumberFormat="1" applyFont="1" applyFill="1" applyBorder="1"/>
    <xf numFmtId="0" fontId="2" fillId="0" borderId="19" xfId="0" applyFont="1" applyBorder="1"/>
    <xf numFmtId="0" fontId="2" fillId="0" borderId="27" xfId="0" applyFont="1" applyBorder="1"/>
    <xf numFmtId="0" fontId="3" fillId="8" borderId="30" xfId="0" applyFont="1" applyFill="1" applyBorder="1"/>
    <xf numFmtId="4" fontId="2" fillId="0" borderId="0" xfId="0" applyNumberFormat="1" applyFont="1"/>
    <xf numFmtId="3" fontId="2" fillId="0" borderId="19" xfId="0" applyNumberFormat="1" applyFont="1" applyBorder="1"/>
    <xf numFmtId="3" fontId="2" fillId="0" borderId="27" xfId="0" applyNumberFormat="1" applyFont="1" applyBorder="1"/>
    <xf numFmtId="3" fontId="3" fillId="8" borderId="30" xfId="0" applyNumberFormat="1" applyFont="1" applyFill="1" applyBorder="1"/>
    <xf numFmtId="3" fontId="5" fillId="9" borderId="1" xfId="0" applyNumberFormat="1" applyFont="1" applyFill="1" applyBorder="1"/>
    <xf numFmtId="0" fontId="3" fillId="10" borderId="35" xfId="0" applyFont="1" applyFill="1" applyBorder="1"/>
    <xf numFmtId="0" fontId="7" fillId="0" borderId="4" xfId="0" applyFont="1" applyBorder="1"/>
    <xf numFmtId="0" fontId="2" fillId="0" borderId="28" xfId="0" applyFont="1" applyBorder="1"/>
    <xf numFmtId="0" fontId="7" fillId="0" borderId="28" xfId="0" applyFont="1" applyBorder="1"/>
    <xf numFmtId="0" fontId="7" fillId="0" borderId="25" xfId="0" applyFont="1" applyBorder="1"/>
    <xf numFmtId="0" fontId="5" fillId="9" borderId="16" xfId="0" applyFont="1" applyFill="1" applyBorder="1" applyAlignment="1">
      <alignment vertical="center" wrapText="1"/>
    </xf>
    <xf numFmtId="0" fontId="5" fillId="9" borderId="2" xfId="0" applyFont="1" applyFill="1" applyBorder="1" applyAlignment="1">
      <alignment horizontal="center" vertical="center"/>
    </xf>
    <xf numFmtId="0" fontId="5" fillId="9" borderId="43" xfId="0" applyFont="1" applyFill="1" applyBorder="1" applyAlignment="1">
      <alignment horizontal="center" vertical="center"/>
    </xf>
    <xf numFmtId="0" fontId="5" fillId="9" borderId="44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8" borderId="13" xfId="0" applyFont="1" applyFill="1" applyBorder="1"/>
    <xf numFmtId="0" fontId="2" fillId="0" borderId="13" xfId="0" applyFont="1" applyBorder="1"/>
    <xf numFmtId="0" fontId="9" fillId="5" borderId="13" xfId="0" applyFont="1" applyFill="1" applyBorder="1"/>
    <xf numFmtId="0" fontId="9" fillId="0" borderId="0" xfId="0" applyFont="1"/>
    <xf numFmtId="0" fontId="2" fillId="3" borderId="13" xfId="0" applyFont="1" applyFill="1" applyBorder="1"/>
    <xf numFmtId="0" fontId="2" fillId="3" borderId="22" xfId="0" applyFont="1" applyFill="1" applyBorder="1"/>
    <xf numFmtId="0" fontId="5" fillId="4" borderId="0" xfId="0" applyFont="1" applyFill="1"/>
    <xf numFmtId="0" fontId="7" fillId="0" borderId="0" xfId="0" applyFont="1"/>
    <xf numFmtId="0" fontId="4" fillId="0" borderId="0" xfId="0" applyFont="1"/>
    <xf numFmtId="3" fontId="2" fillId="0" borderId="0" xfId="0" applyNumberFormat="1" applyFont="1"/>
    <xf numFmtId="2" fontId="2" fillId="0" borderId="0" xfId="0" applyNumberFormat="1" applyFont="1"/>
    <xf numFmtId="4" fontId="6" fillId="0" borderId="0" xfId="0" applyNumberFormat="1" applyFont="1"/>
    <xf numFmtId="0" fontId="2" fillId="0" borderId="40" xfId="0" applyFont="1" applyBorder="1" applyAlignment="1">
      <alignment horizontal="left" vertical="center"/>
    </xf>
    <xf numFmtId="0" fontId="2" fillId="0" borderId="41" xfId="0" applyFont="1" applyBorder="1"/>
    <xf numFmtId="0" fontId="2" fillId="0" borderId="42" xfId="0" applyFont="1" applyBorder="1"/>
    <xf numFmtId="0" fontId="3" fillId="8" borderId="12" xfId="0" applyFont="1" applyFill="1" applyBorder="1"/>
    <xf numFmtId="0" fontId="5" fillId="9" borderId="1" xfId="0" applyFont="1" applyFill="1" applyBorder="1" applyAlignment="1">
      <alignment horizontal="center" vertical="center" wrapText="1"/>
    </xf>
    <xf numFmtId="0" fontId="5" fillId="9" borderId="17" xfId="0" applyFont="1" applyFill="1" applyBorder="1" applyAlignment="1">
      <alignment vertical="center" wrapText="1"/>
    </xf>
    <xf numFmtId="0" fontId="5" fillId="9" borderId="18" xfId="0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2" fillId="8" borderId="42" xfId="0" applyFont="1" applyFill="1" applyBorder="1"/>
    <xf numFmtId="0" fontId="9" fillId="5" borderId="41" xfId="0" applyFont="1" applyFill="1" applyBorder="1"/>
    <xf numFmtId="0" fontId="9" fillId="5" borderId="20" xfId="0" applyFont="1" applyFill="1" applyBorder="1"/>
    <xf numFmtId="0" fontId="2" fillId="3" borderId="42" xfId="0" applyFont="1" applyFill="1" applyBorder="1"/>
    <xf numFmtId="168" fontId="2" fillId="0" borderId="0" xfId="0" applyNumberFormat="1" applyFont="1"/>
    <xf numFmtId="0" fontId="2" fillId="3" borderId="40" xfId="0" applyFont="1" applyFill="1" applyBorder="1"/>
    <xf numFmtId="0" fontId="3" fillId="15" borderId="13" xfId="0" applyFont="1" applyFill="1" applyBorder="1"/>
    <xf numFmtId="3" fontId="5" fillId="0" borderId="46" xfId="0" applyNumberFormat="1" applyFont="1" applyBorder="1"/>
    <xf numFmtId="3" fontId="3" fillId="0" borderId="0" xfId="0" applyNumberFormat="1" applyFont="1"/>
    <xf numFmtId="0" fontId="3" fillId="10" borderId="13" xfId="0" applyFont="1" applyFill="1" applyBorder="1"/>
    <xf numFmtId="0" fontId="5" fillId="0" borderId="0" xfId="0" applyFont="1" applyAlignment="1">
      <alignment horizontal="center" vertical="center"/>
    </xf>
    <xf numFmtId="4" fontId="2" fillId="0" borderId="0" xfId="0" applyNumberFormat="1" applyFont="1" applyAlignment="1" applyProtection="1">
      <alignment horizontal="right" vertical="center"/>
      <protection hidden="1"/>
    </xf>
    <xf numFmtId="4" fontId="2" fillId="3" borderId="0" xfId="0" applyNumberFormat="1" applyFont="1" applyFill="1" applyAlignment="1" applyProtection="1">
      <alignment horizontal="right" vertical="center"/>
      <protection hidden="1"/>
    </xf>
    <xf numFmtId="0" fontId="5" fillId="9" borderId="0" xfId="0" applyFont="1" applyFill="1" applyAlignment="1" applyProtection="1">
      <alignment horizontal="center"/>
      <protection locked="0"/>
    </xf>
    <xf numFmtId="3" fontId="5" fillId="9" borderId="33" xfId="0" applyNumberFormat="1" applyFont="1" applyFill="1" applyBorder="1" applyAlignment="1" applyProtection="1">
      <alignment horizontal="center"/>
      <protection locked="0"/>
    </xf>
    <xf numFmtId="3" fontId="5" fillId="9" borderId="34" xfId="0" applyNumberFormat="1" applyFont="1" applyFill="1" applyBorder="1" applyAlignment="1" applyProtection="1">
      <alignment horizontal="center"/>
      <protection locked="0"/>
    </xf>
    <xf numFmtId="0" fontId="3" fillId="0" borderId="13" xfId="0" applyFont="1" applyBorder="1" applyAlignment="1" applyProtection="1">
      <alignment horizontal="center" vertical="center"/>
      <protection hidden="1"/>
    </xf>
    <xf numFmtId="4" fontId="2" fillId="0" borderId="13" xfId="0" applyNumberFormat="1" applyFont="1" applyBorder="1" applyAlignment="1" applyProtection="1">
      <alignment horizontal="center"/>
      <protection locked="0" hidden="1"/>
    </xf>
    <xf numFmtId="4" fontId="2" fillId="0" borderId="20" xfId="0" applyNumberFormat="1" applyFont="1" applyBorder="1" applyAlignment="1" applyProtection="1">
      <alignment horizontal="center"/>
      <protection locked="0" hidden="1"/>
    </xf>
    <xf numFmtId="4" fontId="2" fillId="0" borderId="26" xfId="0" applyNumberFormat="1" applyFont="1" applyBorder="1" applyAlignment="1" applyProtection="1">
      <alignment horizontal="center"/>
      <protection locked="0" hidden="1"/>
    </xf>
    <xf numFmtId="4" fontId="2" fillId="0" borderId="45" xfId="0" applyNumberFormat="1" applyFont="1" applyBorder="1" applyAlignment="1" applyProtection="1">
      <alignment horizontal="center"/>
      <protection locked="0" hidden="1"/>
    </xf>
    <xf numFmtId="4" fontId="3" fillId="8" borderId="56" xfId="0" applyNumberFormat="1" applyFont="1" applyFill="1" applyBorder="1" applyAlignment="1" applyProtection="1">
      <alignment horizontal="center"/>
      <protection locked="0" hidden="1"/>
    </xf>
    <xf numFmtId="4" fontId="3" fillId="8" borderId="54" xfId="0" applyNumberFormat="1" applyFont="1" applyFill="1" applyBorder="1" applyAlignment="1" applyProtection="1">
      <alignment horizontal="center"/>
      <protection locked="0" hidden="1"/>
    </xf>
    <xf numFmtId="4" fontId="8" fillId="0" borderId="4" xfId="0" applyNumberFormat="1" applyFont="1" applyBorder="1" applyAlignment="1" applyProtection="1">
      <alignment horizontal="center"/>
      <protection locked="0"/>
    </xf>
    <xf numFmtId="4" fontId="8" fillId="0" borderId="5" xfId="0" applyNumberFormat="1" applyFont="1" applyBorder="1" applyAlignment="1" applyProtection="1">
      <alignment horizontal="center"/>
      <protection locked="0"/>
    </xf>
    <xf numFmtId="4" fontId="8" fillId="0" borderId="6" xfId="0" applyNumberFormat="1" applyFont="1" applyBorder="1" applyAlignment="1" applyProtection="1">
      <alignment horizontal="center"/>
      <protection locked="0"/>
    </xf>
    <xf numFmtId="4" fontId="8" fillId="0" borderId="39" xfId="0" applyNumberFormat="1" applyFont="1" applyBorder="1" applyAlignment="1" applyProtection="1">
      <alignment horizontal="center"/>
      <protection locked="0"/>
    </xf>
    <xf numFmtId="4" fontId="8" fillId="0" borderId="25" xfId="0" applyNumberFormat="1" applyFont="1" applyBorder="1" applyAlignment="1" applyProtection="1">
      <alignment horizontal="center"/>
      <protection locked="0"/>
    </xf>
    <xf numFmtId="4" fontId="8" fillId="0" borderId="37" xfId="0" applyNumberFormat="1" applyFont="1" applyBorder="1" applyAlignment="1" applyProtection="1">
      <alignment horizontal="center"/>
      <protection locked="0"/>
    </xf>
    <xf numFmtId="4" fontId="8" fillId="0" borderId="51" xfId="0" applyNumberFormat="1" applyFont="1" applyBorder="1" applyAlignment="1" applyProtection="1">
      <alignment horizontal="center"/>
      <protection locked="0"/>
    </xf>
    <xf numFmtId="4" fontId="8" fillId="0" borderId="38" xfId="0" applyNumberFormat="1" applyFont="1" applyBorder="1" applyAlignment="1" applyProtection="1">
      <alignment horizontal="center"/>
      <protection locked="0"/>
    </xf>
    <xf numFmtId="4" fontId="3" fillId="8" borderId="36" xfId="0" applyNumberFormat="1" applyFont="1" applyFill="1" applyBorder="1" applyAlignment="1" applyProtection="1">
      <alignment horizontal="center"/>
      <protection locked="0" hidden="1"/>
    </xf>
    <xf numFmtId="4" fontId="3" fillId="8" borderId="15" xfId="0" applyNumberFormat="1" applyFont="1" applyFill="1" applyBorder="1" applyAlignment="1" applyProtection="1">
      <alignment horizontal="center"/>
      <protection locked="0" hidden="1"/>
    </xf>
    <xf numFmtId="4" fontId="3" fillId="8" borderId="55" xfId="0" applyNumberFormat="1" applyFont="1" applyFill="1" applyBorder="1" applyAlignment="1" applyProtection="1">
      <alignment horizontal="center"/>
      <protection locked="0" hidden="1"/>
    </xf>
    <xf numFmtId="4" fontId="3" fillId="8" borderId="14" xfId="0" applyNumberFormat="1" applyFont="1" applyFill="1" applyBorder="1" applyAlignment="1" applyProtection="1">
      <alignment horizontal="center"/>
      <protection locked="0" hidden="1"/>
    </xf>
    <xf numFmtId="4" fontId="2" fillId="5" borderId="5" xfId="0" applyNumberFormat="1" applyFont="1" applyFill="1" applyBorder="1" applyAlignment="1" applyProtection="1">
      <alignment horizontal="center"/>
      <protection locked="0"/>
    </xf>
    <xf numFmtId="4" fontId="2" fillId="5" borderId="39" xfId="0" applyNumberFormat="1" applyFont="1" applyFill="1" applyBorder="1" applyAlignment="1" applyProtection="1">
      <alignment horizontal="center"/>
      <protection locked="0"/>
    </xf>
    <xf numFmtId="4" fontId="2" fillId="0" borderId="40" xfId="0" applyNumberFormat="1" applyFont="1" applyBorder="1" applyAlignment="1" applyProtection="1">
      <alignment horizontal="center"/>
      <protection hidden="1"/>
    </xf>
    <xf numFmtId="4" fontId="2" fillId="0" borderId="37" xfId="0" applyNumberFormat="1" applyFont="1" applyBorder="1" applyAlignment="1" applyProtection="1">
      <alignment horizontal="center"/>
      <protection hidden="1"/>
    </xf>
    <xf numFmtId="4" fontId="2" fillId="0" borderId="38" xfId="0" applyNumberFormat="1" applyFont="1" applyBorder="1" applyAlignment="1" applyProtection="1">
      <alignment horizontal="center"/>
      <protection hidden="1"/>
    </xf>
    <xf numFmtId="4" fontId="2" fillId="0" borderId="19" xfId="0" applyNumberFormat="1" applyFont="1" applyBorder="1" applyAlignment="1" applyProtection="1">
      <alignment horizontal="center" vertical="center"/>
      <protection hidden="1"/>
    </xf>
    <xf numFmtId="4" fontId="2" fillId="0" borderId="13" xfId="0" applyNumberFormat="1" applyFont="1" applyBorder="1" applyAlignment="1" applyProtection="1">
      <alignment horizontal="center" vertical="center"/>
      <protection hidden="1"/>
    </xf>
    <xf numFmtId="4" fontId="2" fillId="0" borderId="20" xfId="0" applyNumberFormat="1" applyFont="1" applyBorder="1" applyAlignment="1" applyProtection="1">
      <alignment horizontal="center" vertical="center"/>
      <protection hidden="1"/>
    </xf>
    <xf numFmtId="4" fontId="3" fillId="8" borderId="12" xfId="0" applyNumberFormat="1" applyFont="1" applyFill="1" applyBorder="1" applyAlignment="1" applyProtection="1">
      <alignment horizontal="center"/>
      <protection hidden="1"/>
    </xf>
    <xf numFmtId="4" fontId="3" fillId="8" borderId="15" xfId="0" applyNumberFormat="1" applyFont="1" applyFill="1" applyBorder="1" applyAlignment="1" applyProtection="1">
      <alignment horizontal="center"/>
      <protection hidden="1"/>
    </xf>
    <xf numFmtId="4" fontId="3" fillId="8" borderId="14" xfId="0" applyNumberFormat="1" applyFont="1" applyFill="1" applyBorder="1" applyAlignment="1" applyProtection="1">
      <alignment horizontal="center"/>
      <protection hidden="1"/>
    </xf>
    <xf numFmtId="0" fontId="9" fillId="0" borderId="0" xfId="0" applyFont="1" applyAlignment="1">
      <alignment horizontal="center"/>
    </xf>
    <xf numFmtId="0" fontId="2" fillId="0" borderId="4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4" fontId="2" fillId="0" borderId="19" xfId="0" applyNumberFormat="1" applyFont="1" applyBorder="1" applyAlignment="1">
      <alignment horizontal="center" vertical="center"/>
    </xf>
    <xf numFmtId="4" fontId="2" fillId="0" borderId="13" xfId="0" applyNumberFormat="1" applyFont="1" applyBorder="1" applyAlignment="1">
      <alignment horizontal="center" vertical="center"/>
    </xf>
    <xf numFmtId="4" fontId="2" fillId="0" borderId="20" xfId="0" applyNumberFormat="1" applyFont="1" applyBorder="1" applyAlignment="1">
      <alignment horizontal="center" vertical="center"/>
    </xf>
    <xf numFmtId="10" fontId="2" fillId="0" borderId="41" xfId="0" applyNumberFormat="1" applyFont="1" applyBorder="1" applyAlignment="1" applyProtection="1">
      <alignment horizontal="center" vertical="center"/>
      <protection hidden="1"/>
    </xf>
    <xf numFmtId="10" fontId="2" fillId="0" borderId="5" xfId="0" applyNumberFormat="1" applyFont="1" applyBorder="1" applyAlignment="1" applyProtection="1">
      <alignment horizontal="center" vertical="center"/>
      <protection hidden="1"/>
    </xf>
    <xf numFmtId="10" fontId="2" fillId="0" borderId="39" xfId="0" applyNumberFormat="1" applyFont="1" applyBorder="1" applyAlignment="1" applyProtection="1">
      <alignment horizontal="center" vertical="center"/>
      <protection hidden="1"/>
    </xf>
    <xf numFmtId="4" fontId="2" fillId="0" borderId="41" xfId="0" applyNumberFormat="1" applyFont="1" applyBorder="1" applyAlignment="1" applyProtection="1">
      <alignment horizontal="center"/>
      <protection hidden="1"/>
    </xf>
    <xf numFmtId="4" fontId="2" fillId="0" borderId="5" xfId="0" applyNumberFormat="1" applyFont="1" applyBorder="1" applyAlignment="1" applyProtection="1">
      <alignment horizontal="center"/>
      <protection hidden="1"/>
    </xf>
    <xf numFmtId="4" fontId="2" fillId="0" borderId="39" xfId="0" applyNumberFormat="1" applyFont="1" applyBorder="1" applyAlignment="1" applyProtection="1">
      <alignment horizontal="center"/>
      <protection hidden="1"/>
    </xf>
    <xf numFmtId="0" fontId="3" fillId="0" borderId="4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5" fillId="14" borderId="35" xfId="0" applyFont="1" applyFill="1" applyBorder="1" applyAlignment="1">
      <alignment horizontal="center"/>
    </xf>
    <xf numFmtId="0" fontId="5" fillId="14" borderId="33" xfId="0" applyFont="1" applyFill="1" applyBorder="1" applyAlignment="1">
      <alignment horizontal="center"/>
    </xf>
    <xf numFmtId="0" fontId="5" fillId="14" borderId="34" xfId="0" applyFont="1" applyFill="1" applyBorder="1" applyAlignment="1">
      <alignment horizontal="center"/>
    </xf>
    <xf numFmtId="4" fontId="3" fillId="0" borderId="12" xfId="0" applyNumberFormat="1" applyFont="1" applyBorder="1" applyAlignment="1" applyProtection="1">
      <alignment horizontal="center"/>
      <protection hidden="1"/>
    </xf>
    <xf numFmtId="4" fontId="3" fillId="0" borderId="15" xfId="0" applyNumberFormat="1" applyFont="1" applyBorder="1" applyAlignment="1" applyProtection="1">
      <alignment horizontal="center"/>
      <protection hidden="1"/>
    </xf>
    <xf numFmtId="4" fontId="3" fillId="0" borderId="14" xfId="0" applyNumberFormat="1" applyFont="1" applyBorder="1" applyAlignment="1" applyProtection="1">
      <alignment horizontal="center"/>
      <protection hidden="1"/>
    </xf>
    <xf numFmtId="3" fontId="5" fillId="14" borderId="35" xfId="0" applyNumberFormat="1" applyFont="1" applyFill="1" applyBorder="1" applyAlignment="1">
      <alignment horizontal="center"/>
    </xf>
    <xf numFmtId="3" fontId="5" fillId="14" borderId="33" xfId="0" applyNumberFormat="1" applyFont="1" applyFill="1" applyBorder="1" applyAlignment="1">
      <alignment horizontal="center"/>
    </xf>
    <xf numFmtId="3" fontId="5" fillId="14" borderId="34" xfId="0" applyNumberFormat="1" applyFont="1" applyFill="1" applyBorder="1" applyAlignment="1">
      <alignment horizontal="center"/>
    </xf>
    <xf numFmtId="4" fontId="8" fillId="0" borderId="41" xfId="0" applyNumberFormat="1" applyFont="1" applyBorder="1" applyAlignment="1" applyProtection="1">
      <alignment horizontal="center"/>
      <protection hidden="1"/>
    </xf>
    <xf numFmtId="4" fontId="8" fillId="0" borderId="5" xfId="0" applyNumberFormat="1" applyFont="1" applyBorder="1" applyAlignment="1" applyProtection="1">
      <alignment horizontal="center"/>
      <protection hidden="1"/>
    </xf>
    <xf numFmtId="4" fontId="8" fillId="0" borderId="39" xfId="0" applyNumberFormat="1" applyFont="1" applyBorder="1" applyAlignment="1" applyProtection="1">
      <alignment horizontal="center"/>
      <protection hidden="1"/>
    </xf>
    <xf numFmtId="4" fontId="2" fillId="7" borderId="13" xfId="0" applyNumberFormat="1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/>
    </xf>
    <xf numFmtId="0" fontId="5" fillId="6" borderId="33" xfId="0" applyFont="1" applyFill="1" applyBorder="1" applyAlignment="1">
      <alignment horizontal="center"/>
    </xf>
    <xf numFmtId="0" fontId="5" fillId="6" borderId="34" xfId="0" applyFont="1" applyFill="1" applyBorder="1" applyAlignment="1">
      <alignment horizontal="center"/>
    </xf>
    <xf numFmtId="0" fontId="5" fillId="14" borderId="57" xfId="0" applyFont="1" applyFill="1" applyBorder="1" applyAlignment="1">
      <alignment horizontal="center" vertical="center"/>
    </xf>
    <xf numFmtId="0" fontId="5" fillId="14" borderId="9" xfId="0" applyFont="1" applyFill="1" applyBorder="1" applyAlignment="1">
      <alignment horizontal="center" vertical="center"/>
    </xf>
    <xf numFmtId="0" fontId="5" fillId="14" borderId="60" xfId="0" applyFont="1" applyFill="1" applyBorder="1" applyAlignment="1">
      <alignment horizontal="center" vertical="center"/>
    </xf>
    <xf numFmtId="4" fontId="2" fillId="0" borderId="58" xfId="0" applyNumberFormat="1" applyFont="1" applyBorder="1" applyAlignment="1">
      <alignment horizontal="center" vertical="center"/>
    </xf>
    <xf numFmtId="4" fontId="2" fillId="0" borderId="59" xfId="0" applyNumberFormat="1" applyFont="1" applyBorder="1" applyAlignment="1">
      <alignment horizontal="center" vertical="center"/>
    </xf>
    <xf numFmtId="4" fontId="2" fillId="0" borderId="44" xfId="0" applyNumberFormat="1" applyFont="1" applyBorder="1" applyAlignment="1">
      <alignment horizontal="center" vertical="center"/>
    </xf>
    <xf numFmtId="4" fontId="2" fillId="7" borderId="20" xfId="0" applyNumberFormat="1" applyFont="1" applyFill="1" applyBorder="1" applyAlignment="1">
      <alignment horizontal="center" vertical="center"/>
    </xf>
    <xf numFmtId="4" fontId="2" fillId="0" borderId="41" xfId="0" applyNumberFormat="1" applyFont="1" applyBorder="1" applyAlignment="1" applyProtection="1">
      <alignment horizontal="center" vertical="center"/>
      <protection hidden="1"/>
    </xf>
    <xf numFmtId="4" fontId="2" fillId="0" borderId="5" xfId="0" applyNumberFormat="1" applyFont="1" applyBorder="1" applyAlignment="1" applyProtection="1">
      <alignment horizontal="center" vertical="center"/>
      <protection hidden="1"/>
    </xf>
    <xf numFmtId="4" fontId="2" fillId="0" borderId="39" xfId="0" applyNumberFormat="1" applyFont="1" applyBorder="1" applyAlignment="1" applyProtection="1">
      <alignment horizontal="center" vertical="center"/>
      <protection hidden="1"/>
    </xf>
    <xf numFmtId="4" fontId="3" fillId="0" borderId="0" xfId="0" applyNumberFormat="1" applyFont="1" applyAlignment="1" applyProtection="1">
      <alignment horizontal="center"/>
      <protection hidden="1"/>
    </xf>
    <xf numFmtId="4" fontId="3" fillId="8" borderId="55" xfId="0" applyNumberFormat="1" applyFont="1" applyFill="1" applyBorder="1" applyAlignment="1" applyProtection="1">
      <alignment horizontal="center"/>
      <protection hidden="1"/>
    </xf>
    <xf numFmtId="4" fontId="3" fillId="8" borderId="56" xfId="0" applyNumberFormat="1" applyFont="1" applyFill="1" applyBorder="1" applyAlignment="1" applyProtection="1">
      <alignment horizontal="center"/>
      <protection hidden="1"/>
    </xf>
    <xf numFmtId="4" fontId="3" fillId="8" borderId="54" xfId="0" applyNumberFormat="1" applyFont="1" applyFill="1" applyBorder="1" applyAlignment="1" applyProtection="1">
      <alignment horizontal="center"/>
      <protection hidden="1"/>
    </xf>
    <xf numFmtId="4" fontId="2" fillId="0" borderId="4" xfId="0" applyNumberFormat="1" applyFont="1" applyBorder="1" applyAlignment="1" applyProtection="1">
      <alignment horizontal="center"/>
      <protection hidden="1"/>
    </xf>
    <xf numFmtId="4" fontId="2" fillId="0" borderId="6" xfId="0" applyNumberFormat="1" applyFont="1" applyBorder="1" applyAlignment="1" applyProtection="1">
      <alignment horizontal="center"/>
      <protection hidden="1"/>
    </xf>
    <xf numFmtId="0" fontId="5" fillId="15" borderId="4" xfId="0" applyFont="1" applyFill="1" applyBorder="1" applyAlignment="1">
      <alignment horizontal="center"/>
    </xf>
    <xf numFmtId="0" fontId="5" fillId="15" borderId="5" xfId="0" applyFont="1" applyFill="1" applyBorder="1" applyAlignment="1">
      <alignment horizontal="center"/>
    </xf>
    <xf numFmtId="0" fontId="5" fillId="15" borderId="6" xfId="0" applyFont="1" applyFill="1" applyBorder="1" applyAlignment="1">
      <alignment horizontal="center"/>
    </xf>
    <xf numFmtId="3" fontId="5" fillId="0" borderId="0" xfId="0" applyNumberFormat="1" applyFont="1" applyAlignment="1">
      <alignment horizontal="center"/>
    </xf>
    <xf numFmtId="3" fontId="5" fillId="0" borderId="33" xfId="0" applyNumberFormat="1" applyFont="1" applyBorder="1" applyAlignment="1">
      <alignment horizontal="center"/>
    </xf>
    <xf numFmtId="3" fontId="5" fillId="0" borderId="34" xfId="0" applyNumberFormat="1" applyFont="1" applyBorder="1" applyAlignment="1">
      <alignment horizontal="center"/>
    </xf>
    <xf numFmtId="4" fontId="2" fillId="0" borderId="0" xfId="0" applyNumberFormat="1" applyFont="1" applyAlignment="1" applyProtection="1">
      <alignment horizontal="center"/>
      <protection hidden="1"/>
    </xf>
    <xf numFmtId="4" fontId="2" fillId="0" borderId="13" xfId="0" applyNumberFormat="1" applyFont="1" applyBorder="1" applyAlignment="1" applyProtection="1">
      <alignment horizontal="center"/>
      <protection hidden="1"/>
    </xf>
    <xf numFmtId="4" fontId="2" fillId="0" borderId="20" xfId="0" applyNumberFormat="1" applyFont="1" applyBorder="1" applyAlignment="1" applyProtection="1">
      <alignment horizontal="center"/>
      <protection hidden="1"/>
    </xf>
    <xf numFmtId="4" fontId="2" fillId="0" borderId="31" xfId="0" applyNumberFormat="1" applyFont="1" applyBorder="1" applyAlignment="1" applyProtection="1">
      <alignment horizontal="center"/>
      <protection hidden="1"/>
    </xf>
    <xf numFmtId="4" fontId="2" fillId="0" borderId="26" xfId="0" applyNumberFormat="1" applyFont="1" applyBorder="1" applyAlignment="1" applyProtection="1">
      <alignment horizontal="center"/>
      <protection hidden="1"/>
    </xf>
    <xf numFmtId="4" fontId="2" fillId="0" borderId="45" xfId="0" applyNumberFormat="1" applyFont="1" applyBorder="1" applyAlignment="1" applyProtection="1">
      <alignment horizontal="center"/>
      <protection hidden="1"/>
    </xf>
    <xf numFmtId="4" fontId="7" fillId="0" borderId="0" xfId="0" applyNumberFormat="1" applyFont="1" applyAlignment="1" applyProtection="1">
      <alignment horizontal="center"/>
      <protection hidden="1"/>
    </xf>
    <xf numFmtId="3" fontId="5" fillId="9" borderId="33" xfId="0" applyNumberFormat="1" applyFont="1" applyFill="1" applyBorder="1" applyAlignment="1">
      <alignment horizontal="center"/>
    </xf>
    <xf numFmtId="3" fontId="5" fillId="9" borderId="34" xfId="0" applyNumberFormat="1" applyFont="1" applyFill="1" applyBorder="1" applyAlignment="1">
      <alignment horizont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4" fontId="7" fillId="0" borderId="4" xfId="0" applyNumberFormat="1" applyFont="1" applyBorder="1" applyAlignment="1" applyProtection="1">
      <alignment horizontal="center"/>
      <protection hidden="1"/>
    </xf>
    <xf numFmtId="4" fontId="7" fillId="0" borderId="5" xfId="0" applyNumberFormat="1" applyFont="1" applyBorder="1" applyAlignment="1" applyProtection="1">
      <alignment horizontal="center"/>
      <protection hidden="1"/>
    </xf>
    <xf numFmtId="4" fontId="7" fillId="0" borderId="6" xfId="0" applyNumberFormat="1" applyFont="1" applyBorder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hidden="1"/>
    </xf>
    <xf numFmtId="4" fontId="4" fillId="0" borderId="0" xfId="0" applyNumberFormat="1" applyFont="1" applyAlignment="1" applyProtection="1">
      <alignment horizontal="center"/>
      <protection hidden="1"/>
    </xf>
    <xf numFmtId="0" fontId="5" fillId="4" borderId="0" xfId="0" applyFont="1" applyFill="1" applyAlignment="1">
      <alignment horizontal="center"/>
    </xf>
    <xf numFmtId="4" fontId="15" fillId="0" borderId="3" xfId="0" applyNumberFormat="1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10" fontId="2" fillId="5" borderId="13" xfId="0" applyNumberFormat="1" applyFont="1" applyFill="1" applyBorder="1" applyAlignment="1">
      <alignment horizontal="center" vertical="center"/>
    </xf>
    <xf numFmtId="10" fontId="2" fillId="5" borderId="20" xfId="0" applyNumberFormat="1" applyFont="1" applyFill="1" applyBorder="1" applyAlignment="1">
      <alignment horizontal="center" vertical="center"/>
    </xf>
    <xf numFmtId="4" fontId="8" fillId="0" borderId="4" xfId="0" applyNumberFormat="1" applyFont="1" applyBorder="1" applyAlignment="1" applyProtection="1">
      <alignment horizontal="center"/>
      <protection hidden="1"/>
    </xf>
    <xf numFmtId="4" fontId="8" fillId="0" borderId="6" xfId="0" applyNumberFormat="1" applyFont="1" applyBorder="1" applyAlignment="1" applyProtection="1">
      <alignment horizontal="center"/>
      <protection hidden="1"/>
    </xf>
    <xf numFmtId="4" fontId="8" fillId="0" borderId="25" xfId="0" applyNumberFormat="1" applyFont="1" applyBorder="1" applyAlignment="1" applyProtection="1">
      <alignment horizontal="center"/>
      <protection hidden="1"/>
    </xf>
    <xf numFmtId="4" fontId="8" fillId="0" borderId="37" xfId="0" applyNumberFormat="1" applyFont="1" applyBorder="1" applyAlignment="1" applyProtection="1">
      <alignment horizontal="center"/>
      <protection hidden="1"/>
    </xf>
    <xf numFmtId="4" fontId="8" fillId="0" borderId="51" xfId="0" applyNumberFormat="1" applyFont="1" applyBorder="1" applyAlignment="1" applyProtection="1">
      <alignment horizontal="center"/>
      <protection hidden="1"/>
    </xf>
    <xf numFmtId="4" fontId="8" fillId="0" borderId="38" xfId="0" applyNumberFormat="1" applyFont="1" applyBorder="1" applyAlignment="1" applyProtection="1">
      <alignment horizontal="center"/>
      <protection hidden="1"/>
    </xf>
    <xf numFmtId="4" fontId="3" fillId="8" borderId="36" xfId="0" applyNumberFormat="1" applyFont="1" applyFill="1" applyBorder="1" applyAlignment="1" applyProtection="1">
      <alignment horizontal="center"/>
      <protection hidden="1"/>
    </xf>
    <xf numFmtId="0" fontId="5" fillId="10" borderId="13" xfId="0" applyFont="1" applyFill="1" applyBorder="1" applyAlignment="1">
      <alignment horizontal="center"/>
    </xf>
    <xf numFmtId="0" fontId="5" fillId="14" borderId="0" xfId="0" applyFont="1" applyFill="1" applyAlignment="1">
      <alignment horizontal="center" vertical="center"/>
    </xf>
    <xf numFmtId="0" fontId="2" fillId="0" borderId="41" xfId="0" applyFont="1" applyBorder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2" fillId="0" borderId="39" xfId="0" applyFont="1" applyBorder="1" applyAlignment="1" applyProtection="1">
      <alignment horizontal="center" vertical="center" wrapText="1"/>
      <protection hidden="1"/>
    </xf>
    <xf numFmtId="0" fontId="2" fillId="0" borderId="40" xfId="0" applyFont="1" applyBorder="1" applyAlignment="1" applyProtection="1">
      <alignment horizontal="center" vertical="center"/>
      <protection hidden="1"/>
    </xf>
    <xf numFmtId="0" fontId="2" fillId="0" borderId="37" xfId="0" applyFont="1" applyBorder="1" applyAlignment="1" applyProtection="1">
      <alignment horizontal="center" vertical="center"/>
      <protection hidden="1"/>
    </xf>
    <xf numFmtId="0" fontId="2" fillId="0" borderId="38" xfId="0" applyFont="1" applyBorder="1" applyAlignment="1" applyProtection="1">
      <alignment horizontal="center" vertical="center"/>
      <protection hidden="1"/>
    </xf>
    <xf numFmtId="3" fontId="2" fillId="0" borderId="19" xfId="0" applyNumberFormat="1" applyFont="1" applyBorder="1" applyAlignment="1" applyProtection="1">
      <alignment horizontal="center" vertical="center"/>
      <protection hidden="1"/>
    </xf>
    <xf numFmtId="3" fontId="2" fillId="0" borderId="13" xfId="0" applyNumberFormat="1" applyFont="1" applyBorder="1" applyAlignment="1" applyProtection="1">
      <alignment horizontal="center" vertical="center"/>
      <protection hidden="1"/>
    </xf>
    <xf numFmtId="3" fontId="2" fillId="0" borderId="4" xfId="0" applyNumberFormat="1" applyFont="1" applyBorder="1" applyAlignment="1" applyProtection="1">
      <alignment horizontal="center" vertical="center"/>
      <protection hidden="1"/>
    </xf>
    <xf numFmtId="0" fontId="2" fillId="0" borderId="19" xfId="0" applyFont="1" applyBorder="1" applyAlignment="1" applyProtection="1">
      <alignment horizontal="center" vertical="center"/>
      <protection hidden="1"/>
    </xf>
    <xf numFmtId="0" fontId="2" fillId="0" borderId="13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42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4" fontId="7" fillId="0" borderId="41" xfId="0" applyNumberFormat="1" applyFont="1" applyBorder="1" applyAlignment="1" applyProtection="1">
      <alignment horizontal="center"/>
      <protection hidden="1"/>
    </xf>
    <xf numFmtId="4" fontId="7" fillId="0" borderId="39" xfId="0" applyNumberFormat="1" applyFont="1" applyBorder="1" applyAlignment="1" applyProtection="1">
      <alignment horizontal="center"/>
      <protection hidden="1"/>
    </xf>
    <xf numFmtId="4" fontId="7" fillId="0" borderId="40" xfId="0" applyNumberFormat="1" applyFont="1" applyBorder="1" applyAlignment="1" applyProtection="1">
      <alignment horizontal="center"/>
      <protection hidden="1"/>
    </xf>
    <xf numFmtId="4" fontId="7" fillId="0" borderId="37" xfId="0" applyNumberFormat="1" applyFont="1" applyBorder="1" applyAlignment="1" applyProtection="1">
      <alignment horizontal="center"/>
      <protection hidden="1"/>
    </xf>
    <xf numFmtId="4" fontId="7" fillId="0" borderId="38" xfId="0" applyNumberFormat="1" applyFont="1" applyBorder="1" applyAlignment="1" applyProtection="1">
      <alignment horizontal="center"/>
      <protection hidden="1"/>
    </xf>
    <xf numFmtId="2" fontId="3" fillId="0" borderId="19" xfId="0" applyNumberFormat="1" applyFont="1" applyBorder="1" applyAlignment="1" applyProtection="1">
      <alignment horizontal="center" vertical="center"/>
      <protection hidden="1"/>
    </xf>
    <xf numFmtId="2" fontId="3" fillId="0" borderId="13" xfId="0" applyNumberFormat="1" applyFont="1" applyBorder="1" applyAlignment="1" applyProtection="1">
      <alignment horizontal="center" vertical="center"/>
      <protection hidden="1"/>
    </xf>
    <xf numFmtId="2" fontId="3" fillId="0" borderId="4" xfId="0" applyNumberFormat="1" applyFont="1" applyBorder="1" applyAlignment="1" applyProtection="1">
      <alignment horizontal="center" vertical="center"/>
      <protection hidden="1"/>
    </xf>
    <xf numFmtId="0" fontId="3" fillId="0" borderId="19" xfId="0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0" fontId="3" fillId="0" borderId="20" xfId="0" applyFont="1" applyBorder="1" applyAlignment="1" applyProtection="1">
      <alignment horizontal="center" vertical="center"/>
      <protection hidden="1"/>
    </xf>
    <xf numFmtId="2" fontId="3" fillId="0" borderId="20" xfId="0" applyNumberFormat="1" applyFont="1" applyBorder="1" applyAlignment="1" applyProtection="1">
      <alignment horizontal="center" vertical="center"/>
      <protection hidden="1"/>
    </xf>
    <xf numFmtId="4" fontId="2" fillId="0" borderId="4" xfId="0" applyNumberFormat="1" applyFont="1" applyBorder="1" applyAlignment="1" applyProtection="1">
      <alignment horizontal="center" vertical="center"/>
      <protection hidden="1"/>
    </xf>
    <xf numFmtId="166" fontId="2" fillId="0" borderId="19" xfId="1" applyNumberFormat="1" applyFont="1" applyFill="1" applyBorder="1" applyAlignment="1" applyProtection="1">
      <alignment horizontal="center" vertical="center"/>
      <protection hidden="1"/>
    </xf>
    <xf numFmtId="166" fontId="2" fillId="0" borderId="13" xfId="1" applyNumberFormat="1" applyFont="1" applyFill="1" applyBorder="1" applyAlignment="1" applyProtection="1">
      <alignment horizontal="center" vertical="center"/>
      <protection hidden="1"/>
    </xf>
    <xf numFmtId="166" fontId="2" fillId="0" borderId="4" xfId="1" applyNumberFormat="1" applyFont="1" applyFill="1" applyBorder="1" applyAlignment="1" applyProtection="1">
      <alignment horizontal="center" vertical="center"/>
      <protection hidden="1"/>
    </xf>
    <xf numFmtId="4" fontId="2" fillId="5" borderId="5" xfId="0" applyNumberFormat="1" applyFont="1" applyFill="1" applyBorder="1" applyAlignment="1">
      <alignment horizontal="center"/>
    </xf>
    <xf numFmtId="4" fontId="2" fillId="5" borderId="39" xfId="0" applyNumberFormat="1" applyFont="1" applyFill="1" applyBorder="1" applyAlignment="1">
      <alignment horizontal="center"/>
    </xf>
    <xf numFmtId="4" fontId="7" fillId="0" borderId="25" xfId="0" applyNumberFormat="1" applyFont="1" applyBorder="1" applyAlignment="1" applyProtection="1">
      <alignment horizontal="center"/>
      <protection hidden="1"/>
    </xf>
    <xf numFmtId="4" fontId="7" fillId="0" borderId="51" xfId="0" applyNumberFormat="1" applyFont="1" applyBorder="1" applyAlignment="1" applyProtection="1">
      <alignment horizontal="center"/>
      <protection hidden="1"/>
    </xf>
    <xf numFmtId="0" fontId="5" fillId="6" borderId="0" xfId="0" applyFont="1" applyFill="1" applyAlignment="1">
      <alignment horizontal="center" vertical="center"/>
    </xf>
    <xf numFmtId="3" fontId="2" fillId="7" borderId="56" xfId="0" applyNumberFormat="1" applyFont="1" applyFill="1" applyBorder="1" applyAlignment="1">
      <alignment horizontal="center" vertical="center"/>
    </xf>
    <xf numFmtId="3" fontId="2" fillId="7" borderId="54" xfId="0" applyNumberFormat="1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 wrapText="1"/>
    </xf>
    <xf numFmtId="0" fontId="2" fillId="7" borderId="20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/>
    </xf>
    <xf numFmtId="0" fontId="2" fillId="7" borderId="39" xfId="0" applyFont="1" applyFill="1" applyBorder="1" applyAlignment="1">
      <alignment horizontal="center" vertical="center"/>
    </xf>
    <xf numFmtId="0" fontId="5" fillId="10" borderId="17" xfId="0" applyFont="1" applyFill="1" applyBorder="1" applyAlignment="1">
      <alignment horizontal="center"/>
    </xf>
    <xf numFmtId="0" fontId="5" fillId="10" borderId="18" xfId="0" applyFont="1" applyFill="1" applyBorder="1" applyAlignment="1">
      <alignment horizontal="center"/>
    </xf>
    <xf numFmtId="0" fontId="2" fillId="7" borderId="13" xfId="0" applyFont="1" applyFill="1" applyBorder="1" applyAlignment="1">
      <alignment horizontal="center" vertical="center"/>
    </xf>
    <xf numFmtId="0" fontId="2" fillId="7" borderId="20" xfId="0" applyFont="1" applyFill="1" applyBorder="1" applyAlignment="1">
      <alignment horizontal="center" vertical="center"/>
    </xf>
    <xf numFmtId="166" fontId="2" fillId="0" borderId="20" xfId="1" applyNumberFormat="1" applyFont="1" applyFill="1" applyBorder="1" applyAlignment="1" applyProtection="1">
      <alignment horizontal="center" vertical="center"/>
      <protection hidden="1"/>
    </xf>
    <xf numFmtId="2" fontId="8" fillId="7" borderId="4" xfId="0" applyNumberFormat="1" applyFont="1" applyFill="1" applyBorder="1" applyAlignment="1" applyProtection="1">
      <alignment horizontal="center"/>
      <protection hidden="1"/>
    </xf>
    <xf numFmtId="2" fontId="8" fillId="7" borderId="5" xfId="0" applyNumberFormat="1" applyFont="1" applyFill="1" applyBorder="1" applyAlignment="1" applyProtection="1">
      <alignment horizontal="center"/>
      <protection hidden="1"/>
    </xf>
    <xf numFmtId="2" fontId="8" fillId="7" borderId="6" xfId="0" applyNumberFormat="1" applyFont="1" applyFill="1" applyBorder="1" applyAlignment="1" applyProtection="1">
      <alignment horizontal="center"/>
      <protection hidden="1"/>
    </xf>
    <xf numFmtId="0" fontId="8" fillId="7" borderId="4" xfId="0" applyFont="1" applyFill="1" applyBorder="1" applyAlignment="1" applyProtection="1">
      <alignment horizontal="center"/>
      <protection hidden="1"/>
    </xf>
    <xf numFmtId="0" fontId="8" fillId="7" borderId="5" xfId="0" applyFont="1" applyFill="1" applyBorder="1" applyAlignment="1" applyProtection="1">
      <alignment horizontal="center"/>
      <protection hidden="1"/>
    </xf>
    <xf numFmtId="0" fontId="8" fillId="7" borderId="6" xfId="0" applyFont="1" applyFill="1" applyBorder="1" applyAlignment="1" applyProtection="1">
      <alignment horizontal="center"/>
      <protection hidden="1"/>
    </xf>
    <xf numFmtId="0" fontId="3" fillId="7" borderId="0" xfId="0" applyFont="1" applyFill="1" applyAlignment="1">
      <alignment horizontal="center"/>
    </xf>
    <xf numFmtId="4" fontId="2" fillId="0" borderId="2" xfId="0" applyNumberFormat="1" applyFont="1" applyBorder="1" applyAlignment="1">
      <alignment horizontal="center" vertical="center"/>
    </xf>
    <xf numFmtId="0" fontId="2" fillId="0" borderId="22" xfId="0" applyFont="1" applyBorder="1" applyAlignment="1" applyProtection="1">
      <alignment horizontal="center" vertical="center"/>
      <protection hidden="1"/>
    </xf>
    <xf numFmtId="0" fontId="2" fillId="0" borderId="23" xfId="0" applyFont="1" applyBorder="1" applyAlignment="1" applyProtection="1">
      <alignment horizontal="center" vertical="center"/>
      <protection hidden="1"/>
    </xf>
    <xf numFmtId="0" fontId="5" fillId="6" borderId="17" xfId="0" applyFont="1" applyFill="1" applyBorder="1" applyAlignment="1">
      <alignment horizontal="center"/>
    </xf>
    <xf numFmtId="0" fontId="5" fillId="6" borderId="18" xfId="0" applyFont="1" applyFill="1" applyBorder="1" applyAlignment="1">
      <alignment horizontal="center"/>
    </xf>
    <xf numFmtId="0" fontId="3" fillId="0" borderId="46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0" fontId="5" fillId="14" borderId="0" xfId="0" applyFont="1" applyFill="1" applyAlignment="1">
      <alignment horizontal="center"/>
    </xf>
    <xf numFmtId="4" fontId="8" fillId="0" borderId="40" xfId="0" applyNumberFormat="1" applyFont="1" applyBorder="1" applyAlignment="1" applyProtection="1">
      <alignment horizontal="center"/>
      <protection hidden="1"/>
    </xf>
    <xf numFmtId="4" fontId="2" fillId="0" borderId="40" xfId="0" applyNumberFormat="1" applyFont="1" applyBorder="1" applyAlignment="1" applyProtection="1">
      <alignment horizontal="center" vertical="center"/>
      <protection hidden="1"/>
    </xf>
    <xf numFmtId="4" fontId="2" fillId="0" borderId="37" xfId="0" applyNumberFormat="1" applyFont="1" applyBorder="1" applyAlignment="1" applyProtection="1">
      <alignment horizontal="center" vertical="center"/>
      <protection hidden="1"/>
    </xf>
    <xf numFmtId="3" fontId="2" fillId="7" borderId="13" xfId="0" applyNumberFormat="1" applyFont="1" applyFill="1" applyBorder="1" applyAlignment="1">
      <alignment horizontal="center" vertical="center"/>
    </xf>
    <xf numFmtId="3" fontId="2" fillId="7" borderId="20" xfId="0" applyNumberFormat="1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5" fillId="9" borderId="0" xfId="0" applyFont="1" applyFill="1" applyAlignment="1">
      <alignment horizontal="center"/>
    </xf>
    <xf numFmtId="0" fontId="2" fillId="0" borderId="20" xfId="0" applyFont="1" applyBorder="1" applyAlignment="1" applyProtection="1">
      <alignment horizontal="center" vertical="center"/>
      <protection hidden="1"/>
    </xf>
    <xf numFmtId="4" fontId="2" fillId="7" borderId="4" xfId="0" applyNumberFormat="1" applyFont="1" applyFill="1" applyBorder="1" applyAlignment="1">
      <alignment horizontal="center" vertical="center"/>
    </xf>
    <xf numFmtId="4" fontId="2" fillId="7" borderId="5" xfId="0" applyNumberFormat="1" applyFont="1" applyFill="1" applyBorder="1" applyAlignment="1">
      <alignment horizontal="center" vertical="center"/>
    </xf>
    <xf numFmtId="4" fontId="2" fillId="7" borderId="39" xfId="0" applyNumberFormat="1" applyFont="1" applyFill="1" applyBorder="1" applyAlignment="1">
      <alignment horizontal="center" vertical="center"/>
    </xf>
    <xf numFmtId="4" fontId="2" fillId="0" borderId="25" xfId="0" applyNumberFormat="1" applyFont="1" applyBorder="1" applyAlignment="1" applyProtection="1">
      <alignment horizontal="center" vertical="center"/>
      <protection hidden="1"/>
    </xf>
    <xf numFmtId="4" fontId="2" fillId="0" borderId="38" xfId="0" applyNumberFormat="1" applyFont="1" applyBorder="1" applyAlignment="1" applyProtection="1">
      <alignment horizontal="center" vertical="center"/>
      <protection hidden="1"/>
    </xf>
    <xf numFmtId="2" fontId="8" fillId="0" borderId="4" xfId="0" applyNumberFormat="1" applyFont="1" applyBorder="1" applyAlignment="1" applyProtection="1">
      <alignment horizontal="center"/>
      <protection hidden="1"/>
    </xf>
    <xf numFmtId="2" fontId="8" fillId="0" borderId="5" xfId="0" applyNumberFormat="1" applyFont="1" applyBorder="1" applyAlignment="1" applyProtection="1">
      <alignment horizontal="center"/>
      <protection hidden="1"/>
    </xf>
    <xf numFmtId="2" fontId="8" fillId="0" borderId="6" xfId="0" applyNumberFormat="1" applyFont="1" applyBorder="1" applyAlignment="1" applyProtection="1">
      <alignment horizontal="center"/>
      <protection hidden="1"/>
    </xf>
    <xf numFmtId="0" fontId="8" fillId="0" borderId="5" xfId="0" applyFont="1" applyBorder="1" applyAlignment="1" applyProtection="1">
      <alignment horizont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2" fillId="0" borderId="39" xfId="0" applyFont="1" applyBorder="1" applyAlignment="1" applyProtection="1">
      <alignment horizontal="center" vertical="center"/>
      <protection hidden="1"/>
    </xf>
    <xf numFmtId="2" fontId="9" fillId="0" borderId="13" xfId="0" applyNumberFormat="1" applyFont="1" applyBorder="1" applyAlignment="1" applyProtection="1">
      <alignment horizontal="center"/>
      <protection hidden="1"/>
    </xf>
    <xf numFmtId="0" fontId="9" fillId="0" borderId="13" xfId="0" applyFont="1" applyBorder="1" applyAlignment="1" applyProtection="1">
      <alignment horizontal="center"/>
      <protection hidden="1"/>
    </xf>
    <xf numFmtId="0" fontId="3" fillId="11" borderId="0" xfId="0" applyFont="1" applyFill="1" applyAlignment="1">
      <alignment horizontal="center"/>
    </xf>
    <xf numFmtId="0" fontId="3" fillId="7" borderId="46" xfId="0" applyFont="1" applyFill="1" applyBorder="1" applyAlignment="1">
      <alignment horizontal="center"/>
    </xf>
    <xf numFmtId="0" fontId="3" fillId="7" borderId="47" xfId="0" applyFont="1" applyFill="1" applyBorder="1" applyAlignment="1">
      <alignment horizontal="center"/>
    </xf>
    <xf numFmtId="0" fontId="5" fillId="6" borderId="48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14" fontId="2" fillId="7" borderId="22" xfId="0" applyNumberFormat="1" applyFont="1" applyFill="1" applyBorder="1" applyAlignment="1" applyProtection="1">
      <alignment horizontal="center" vertical="center"/>
      <protection locked="0"/>
    </xf>
    <xf numFmtId="14" fontId="2" fillId="7" borderId="23" xfId="0" applyNumberFormat="1" applyFont="1" applyFill="1" applyBorder="1" applyAlignment="1" applyProtection="1">
      <alignment horizontal="center" vertical="center"/>
      <protection locked="0"/>
    </xf>
    <xf numFmtId="3" fontId="2" fillId="0" borderId="32" xfId="0" applyNumberFormat="1" applyFont="1" applyBorder="1" applyAlignment="1" applyProtection="1">
      <alignment horizontal="center" vertical="center"/>
      <protection hidden="1"/>
    </xf>
    <xf numFmtId="3" fontId="2" fillId="0" borderId="49" xfId="0" applyNumberFormat="1" applyFont="1" applyBorder="1" applyAlignment="1" applyProtection="1">
      <alignment horizontal="center" vertical="center"/>
      <protection hidden="1"/>
    </xf>
  </cellXfs>
  <cellStyles count="7">
    <cellStyle name="40% – paryškinimas 2" xfId="5" builtinId="35"/>
    <cellStyle name="Comma 2" xfId="3" xr:uid="{897329A4-9E72-457C-A107-A7881DF7AEE5}"/>
    <cellStyle name="Įprastas" xfId="0" builtinId="0"/>
    <cellStyle name="Kablelis" xfId="2" builtinId="3"/>
    <cellStyle name="Paryškinimas 2" xfId="4" builtinId="33"/>
    <cellStyle name="Procentai" xfId="1" builtinId="5"/>
    <cellStyle name="Valiuta" xfId="6" builtinId="4"/>
  </cellStyles>
  <dxfs count="9"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  <fill>
        <patternFill>
          <fgColor auto="1"/>
        </patternFill>
      </fill>
    </dxf>
  </dxfs>
  <tableStyles count="0" defaultTableStyle="TableStyleMedium2" defaultPivotStyle="PivotStyleLight16"/>
  <colors>
    <mruColors>
      <color rgb="FF375623"/>
      <color rgb="FFD9D9D9"/>
      <color rgb="FFF49092"/>
      <color rgb="FF800000"/>
      <color rgb="FFF2B8C0"/>
      <color rgb="FFED9B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1</xdr:row>
          <xdr:rowOff>123825</xdr:rowOff>
        </xdr:from>
        <xdr:to>
          <xdr:col>13</xdr:col>
          <xdr:colOff>247650</xdr:colOff>
          <xdr:row>7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Pilnas atrakinimas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0</xdr:row>
          <xdr:rowOff>0</xdr:rowOff>
        </xdr:from>
        <xdr:to>
          <xdr:col>15</xdr:col>
          <xdr:colOff>0</xdr:colOff>
          <xdr:row>3</xdr:row>
          <xdr:rowOff>66675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 pradzia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0</xdr:row>
          <xdr:rowOff>0</xdr:rowOff>
        </xdr:from>
        <xdr:to>
          <xdr:col>19</xdr:col>
          <xdr:colOff>581025</xdr:colOff>
          <xdr:row>3</xdr:row>
          <xdr:rowOff>66675</xdr:rowOff>
        </xdr:to>
        <xdr:sp macro="" textlink="">
          <xdr:nvSpPr>
            <xdr:cNvPr id="2075" name="Button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1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Pirkimai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762000</xdr:colOff>
          <xdr:row>0</xdr:row>
          <xdr:rowOff>0</xdr:rowOff>
        </xdr:from>
        <xdr:to>
          <xdr:col>20</xdr:col>
          <xdr:colOff>762000</xdr:colOff>
          <xdr:row>3</xdr:row>
          <xdr:rowOff>66675</xdr:rowOff>
        </xdr:to>
        <xdr:sp macro="" textlink="">
          <xdr:nvSpPr>
            <xdr:cNvPr id="2081" name="Button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1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Issaugoti ir siusti faila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15875</xdr:colOff>
      <xdr:row>207</xdr:row>
      <xdr:rowOff>66675</xdr:rowOff>
    </xdr:from>
    <xdr:to>
      <xdr:col>17</xdr:col>
      <xdr:colOff>818289</xdr:colOff>
      <xdr:row>218</xdr:row>
      <xdr:rowOff>60155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59325" y="2530475"/>
          <a:ext cx="6879364" cy="139683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828675</xdr:colOff>
          <xdr:row>0</xdr:row>
          <xdr:rowOff>0</xdr:rowOff>
        </xdr:from>
        <xdr:to>
          <xdr:col>17</xdr:col>
          <xdr:colOff>790575</xdr:colOff>
          <xdr:row>3</xdr:row>
          <xdr:rowOff>66675</xdr:rowOff>
        </xdr:to>
        <xdr:sp macro="" textlink="">
          <xdr:nvSpPr>
            <xdr:cNvPr id="2086" name="Button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100-00002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Paraiskos pildymas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57150</xdr:colOff>
          <xdr:row>0</xdr:row>
          <xdr:rowOff>9525</xdr:rowOff>
        </xdr:from>
        <xdr:to>
          <xdr:col>16</xdr:col>
          <xdr:colOff>819150</xdr:colOff>
          <xdr:row>3</xdr:row>
          <xdr:rowOff>66675</xdr:rowOff>
        </xdr:to>
        <xdr:sp macro="" textlink="">
          <xdr:nvSpPr>
            <xdr:cNvPr id="2087" name="Button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1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Rangovo informacija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>
        <a:ln w="28575">
          <a:tailEnd type="triangle"/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customProperty" Target="../customProperty3.bin"/><Relationship Id="rId7" Type="http://schemas.openxmlformats.org/officeDocument/2006/relationships/ctrlProp" Target="../ctrlProps/ctrlProp3.x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vmlDrawing" Target="../drawings/vmlDrawing2.vml"/><Relationship Id="rId10" Type="http://schemas.openxmlformats.org/officeDocument/2006/relationships/ctrlProp" Target="../ctrlProps/ctrlProp6.xml"/><Relationship Id="rId4" Type="http://schemas.openxmlformats.org/officeDocument/2006/relationships/drawing" Target="../drawings/drawing2.xml"/><Relationship Id="rId9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96FC8-B92B-4296-8C55-233AB34C9160}">
  <sheetPr codeName="Sheet3"/>
  <dimension ref="A1:AE258"/>
  <sheetViews>
    <sheetView showGridLines="0" topLeftCell="J1" zoomScaleNormal="100" workbookViewId="0">
      <selection activeCell="R37" sqref="R37"/>
    </sheetView>
  </sheetViews>
  <sheetFormatPr defaultColWidth="9.140625" defaultRowHeight="11.25" outlineLevelCol="1" x14ac:dyDescent="0.2"/>
  <cols>
    <col min="1" max="1" width="19.7109375" style="1" customWidth="1" outlineLevel="1"/>
    <col min="2" max="2" width="10.5703125" style="1" customWidth="1" outlineLevel="1"/>
    <col min="3" max="3" width="16.140625" style="1" customWidth="1" outlineLevel="1"/>
    <col min="4" max="4" width="12" style="1" customWidth="1" outlineLevel="1"/>
    <col min="5" max="5" width="16.140625" style="1" customWidth="1" outlineLevel="1"/>
    <col min="6" max="6" width="10.5703125" style="1" customWidth="1" outlineLevel="1"/>
    <col min="7" max="7" width="14.140625" style="1" customWidth="1" outlineLevel="1"/>
    <col min="8" max="8" width="11.28515625" style="1" customWidth="1" outlineLevel="1"/>
    <col min="9" max="9" width="5.85546875" style="1" customWidth="1" outlineLevel="1"/>
    <col min="10" max="10" width="4" style="1" customWidth="1" outlineLevel="1"/>
    <col min="11" max="11" width="5.85546875" style="1" customWidth="1" outlineLevel="1"/>
    <col min="12" max="26" width="9.140625" style="1"/>
    <col min="27" max="27" width="54.85546875" style="1" bestFit="1" customWidth="1"/>
    <col min="28" max="28" width="9.140625" style="1"/>
    <col min="29" max="29" width="28.28515625" style="1" bestFit="1" customWidth="1"/>
    <col min="30" max="16384" width="9.140625" style="1"/>
  </cols>
  <sheetData>
    <row r="1" spans="1:31" s="6" customFormat="1" x14ac:dyDescent="0.2">
      <c r="A1" s="4"/>
      <c r="B1" s="5" t="s">
        <v>0</v>
      </c>
      <c r="C1" s="2"/>
      <c r="D1" s="2"/>
      <c r="E1" s="2"/>
      <c r="F1" s="2"/>
      <c r="G1" s="2"/>
      <c r="H1" s="2"/>
      <c r="I1" s="2"/>
      <c r="J1" s="3"/>
    </row>
    <row r="2" spans="1:31" x14ac:dyDescent="0.2">
      <c r="A2" s="22"/>
      <c r="B2" s="17"/>
      <c r="C2" s="17"/>
      <c r="D2" s="17"/>
      <c r="E2" s="17"/>
      <c r="F2" s="17"/>
      <c r="G2" s="17"/>
      <c r="H2" s="17"/>
      <c r="I2" s="17"/>
      <c r="J2" s="23"/>
      <c r="AA2" s="52" t="s">
        <v>323</v>
      </c>
      <c r="AD2" s="52" t="s">
        <v>176</v>
      </c>
      <c r="AE2" s="52" t="s">
        <v>117</v>
      </c>
    </row>
    <row r="3" spans="1:31" x14ac:dyDescent="0.2">
      <c r="A3" s="24" t="s">
        <v>1</v>
      </c>
      <c r="B3" s="24" t="s">
        <v>2</v>
      </c>
      <c r="C3" s="24" t="s">
        <v>3</v>
      </c>
      <c r="D3" s="24" t="s">
        <v>4</v>
      </c>
      <c r="E3" s="17"/>
      <c r="F3" s="24" t="s">
        <v>5</v>
      </c>
      <c r="G3" s="24" t="s">
        <v>6</v>
      </c>
      <c r="H3" s="24" t="s">
        <v>1</v>
      </c>
      <c r="I3" s="25">
        <v>1.2</v>
      </c>
      <c r="J3" s="26">
        <v>1.21</v>
      </c>
      <c r="O3" s="17"/>
      <c r="AA3" s="192" t="s">
        <v>134</v>
      </c>
      <c r="AB3" s="192" t="s">
        <v>7</v>
      </c>
      <c r="AC3" s="52" t="s">
        <v>324</v>
      </c>
      <c r="AD3" s="205" t="str">
        <f>IF(OR(Paraiska!$B$27=Support!$AA$4,Paraiska!$B$27=Support!$AA$5,Paraiska!$B$27=Support!$AA$6,Paraiska!$B$27=Support!$AA$7,Paraiska!$B$27=Support!$AA$8,Paraiska!$B$27=Support!$AA$9,Paraiska!$B$27=Support!AA10,Paraiska!$B$27=Support!$AA$11),"TAIP","NE")</f>
        <v>NE</v>
      </c>
      <c r="AE3" s="205" t="str">
        <f>IF(OR(Paraiska!$E$27=Support!$AA$4,Paraiska!$E$27=Support!$AA$5,Paraiska!$E$27=Support!$AA$6,Paraiska!$E$27=Support!$AA$7,Paraiska!$E$27=Support!$AA$8,Paraiska!$E$27=Support!$AA$9,Paraiska!$E$27=Support!AA10,Paraiska!$E$27=Support!$AA$11),"TAIP","NE")</f>
        <v>NE</v>
      </c>
    </row>
    <row r="4" spans="1:31" x14ac:dyDescent="0.2">
      <c r="A4" s="24" t="s">
        <v>7</v>
      </c>
      <c r="B4" s="24" t="s">
        <v>7</v>
      </c>
      <c r="C4" s="24" t="s">
        <v>7</v>
      </c>
      <c r="D4" s="24" t="s">
        <v>7</v>
      </c>
      <c r="E4" s="17"/>
      <c r="F4" s="24" t="s">
        <v>8</v>
      </c>
      <c r="G4" s="24" t="s">
        <v>6</v>
      </c>
      <c r="H4" s="24" t="s">
        <v>2</v>
      </c>
      <c r="I4" s="25">
        <v>1.2</v>
      </c>
      <c r="J4" s="26">
        <v>1.21</v>
      </c>
      <c r="O4" s="17"/>
      <c r="AA4" s="192" t="s">
        <v>262</v>
      </c>
      <c r="AB4" s="192" t="s">
        <v>7</v>
      </c>
    </row>
    <row r="5" spans="1:31" x14ac:dyDescent="0.2">
      <c r="A5" s="24" t="s">
        <v>9</v>
      </c>
      <c r="B5" s="24"/>
      <c r="C5" s="24"/>
      <c r="D5" s="24"/>
      <c r="E5" s="17"/>
      <c r="F5" s="24" t="s">
        <v>10</v>
      </c>
      <c r="G5" s="24" t="s">
        <v>6</v>
      </c>
      <c r="H5" s="24" t="s">
        <v>3</v>
      </c>
      <c r="I5" s="25">
        <f>1.242</f>
        <v>1.242</v>
      </c>
      <c r="J5" s="26">
        <v>1</v>
      </c>
      <c r="O5" s="17"/>
      <c r="AA5" s="192" t="s">
        <v>251</v>
      </c>
      <c r="AB5" s="192" t="s">
        <v>7</v>
      </c>
    </row>
    <row r="6" spans="1:31" x14ac:dyDescent="0.2">
      <c r="A6" s="27"/>
      <c r="B6" s="17"/>
      <c r="C6" s="17"/>
      <c r="D6" s="28"/>
      <c r="E6" s="17"/>
      <c r="F6" s="24" t="s">
        <v>11</v>
      </c>
      <c r="G6" s="24" t="s">
        <v>7</v>
      </c>
      <c r="H6" s="24" t="s">
        <v>4</v>
      </c>
      <c r="I6" s="25">
        <v>1.5</v>
      </c>
      <c r="J6" s="26">
        <v>1</v>
      </c>
      <c r="O6" s="17"/>
      <c r="AA6" s="192" t="s">
        <v>292</v>
      </c>
      <c r="AB6" s="192" t="s">
        <v>7</v>
      </c>
    </row>
    <row r="7" spans="1:31" x14ac:dyDescent="0.2">
      <c r="A7" s="24" t="s">
        <v>9</v>
      </c>
      <c r="B7" s="24" t="s">
        <v>7</v>
      </c>
      <c r="C7" s="53" t="s">
        <v>12</v>
      </c>
      <c r="D7" s="53">
        <v>0.5</v>
      </c>
      <c r="E7" s="17"/>
      <c r="F7" s="24" t="s">
        <v>13</v>
      </c>
      <c r="G7" s="24" t="s">
        <v>6</v>
      </c>
      <c r="H7" s="17"/>
      <c r="I7" s="17"/>
      <c r="J7" s="23"/>
      <c r="AA7" s="192" t="s">
        <v>294</v>
      </c>
      <c r="AB7" s="192" t="s">
        <v>7</v>
      </c>
    </row>
    <row r="8" spans="1:31" x14ac:dyDescent="0.2">
      <c r="A8" s="24" t="s">
        <v>14</v>
      </c>
      <c r="B8" s="24" t="s">
        <v>15</v>
      </c>
      <c r="C8" s="53" t="s">
        <v>16</v>
      </c>
      <c r="D8" s="54">
        <v>0.05</v>
      </c>
      <c r="E8" s="17"/>
      <c r="F8" s="24" t="s">
        <v>17</v>
      </c>
      <c r="G8" s="24" t="s">
        <v>7</v>
      </c>
      <c r="H8" s="17"/>
      <c r="I8" s="17"/>
      <c r="J8" s="23"/>
      <c r="AA8" s="192" t="s">
        <v>298</v>
      </c>
      <c r="AB8" s="192" t="s">
        <v>7</v>
      </c>
    </row>
    <row r="9" spans="1:31" x14ac:dyDescent="0.2">
      <c r="A9" s="24" t="s">
        <v>18</v>
      </c>
      <c r="B9" s="24"/>
      <c r="C9" s="29"/>
      <c r="D9" s="29"/>
      <c r="E9" s="17"/>
      <c r="F9" s="24" t="s">
        <v>19</v>
      </c>
      <c r="G9" s="24" t="s">
        <v>6</v>
      </c>
      <c r="H9" s="17"/>
      <c r="I9" s="17"/>
      <c r="J9" s="23"/>
      <c r="S9" s="6"/>
      <c r="V9" s="6"/>
      <c r="AA9" s="192" t="s">
        <v>301</v>
      </c>
      <c r="AB9" s="192" t="s">
        <v>7</v>
      </c>
    </row>
    <row r="10" spans="1:31" x14ac:dyDescent="0.2">
      <c r="A10" s="24" t="s">
        <v>20</v>
      </c>
      <c r="B10" s="24"/>
      <c r="C10" s="29"/>
      <c r="D10" s="29"/>
      <c r="E10" s="17"/>
      <c r="F10" s="24" t="s">
        <v>21</v>
      </c>
      <c r="G10" s="24" t="s">
        <v>7</v>
      </c>
      <c r="H10" s="17"/>
      <c r="I10" s="17"/>
      <c r="J10" s="23"/>
      <c r="AA10" s="192" t="s">
        <v>317</v>
      </c>
      <c r="AB10" s="192" t="s">
        <v>7</v>
      </c>
    </row>
    <row r="11" spans="1:31" x14ac:dyDescent="0.2">
      <c r="A11" s="24" t="s">
        <v>22</v>
      </c>
      <c r="B11" s="24"/>
      <c r="C11" s="17"/>
      <c r="D11" s="17"/>
      <c r="E11" s="17"/>
      <c r="F11" s="17"/>
      <c r="G11" s="17"/>
      <c r="H11" s="17"/>
      <c r="I11" s="17"/>
      <c r="J11" s="23"/>
      <c r="AA11" s="192" t="s">
        <v>318</v>
      </c>
      <c r="AB11" s="192" t="s">
        <v>7</v>
      </c>
    </row>
    <row r="12" spans="1:31" x14ac:dyDescent="0.2">
      <c r="A12" s="24" t="s">
        <v>23</v>
      </c>
      <c r="B12" s="24"/>
      <c r="C12" s="17"/>
      <c r="D12" s="17"/>
      <c r="E12" s="17"/>
      <c r="F12" s="24" t="s">
        <v>24</v>
      </c>
      <c r="G12" s="24"/>
      <c r="H12" s="24"/>
      <c r="I12" s="24"/>
      <c r="J12" s="24"/>
      <c r="K12" s="24"/>
      <c r="L12" s="24"/>
      <c r="M12" s="24"/>
      <c r="N12" s="24"/>
      <c r="O12" s="24"/>
    </row>
    <row r="13" spans="1:31" x14ac:dyDescent="0.2">
      <c r="A13" s="24" t="s">
        <v>25</v>
      </c>
      <c r="B13" s="24"/>
      <c r="C13" s="17"/>
      <c r="D13" s="17"/>
      <c r="E13" s="17"/>
      <c r="F13" s="24" t="str">
        <f>IFERROR(IF(Paraiska!B11=Support!H6,IF(Paraiska!B9="",(Paraiska!B10+Paraiska!E10+(Paraiska!B10+Paraiska!E10)*Support!B18*1.21)/(Paraiska!B31+Paraiska!B32),(Paraiska!B9+Paraiska!E9+(Paraiska!B9+Paraiska!E9)*Support!B18*1.21)/(Paraiska!B31+Paraiska!B32)),""),"")</f>
        <v/>
      </c>
      <c r="G13" s="24" t="s">
        <v>26</v>
      </c>
      <c r="H13" s="24"/>
      <c r="I13" s="24"/>
      <c r="J13" s="24"/>
      <c r="K13" s="24"/>
      <c r="L13" s="24"/>
      <c r="M13" s="24"/>
      <c r="N13" s="24"/>
      <c r="O13" s="24"/>
    </row>
    <row r="14" spans="1:31" x14ac:dyDescent="0.2">
      <c r="A14" s="24" t="s">
        <v>27</v>
      </c>
      <c r="B14" s="24"/>
      <c r="C14" s="17"/>
      <c r="D14" s="17"/>
      <c r="E14" s="17"/>
      <c r="F14" s="17"/>
      <c r="G14" s="17"/>
      <c r="H14" s="17"/>
      <c r="I14" s="17"/>
      <c r="J14" s="23"/>
      <c r="O14" s="6" t="s">
        <v>28</v>
      </c>
      <c r="P14" s="6" t="s">
        <v>29</v>
      </c>
    </row>
    <row r="15" spans="1:31" x14ac:dyDescent="0.2">
      <c r="A15" s="27"/>
      <c r="B15" s="17"/>
      <c r="C15" s="17"/>
      <c r="D15" s="17"/>
      <c r="E15" s="17"/>
      <c r="F15" s="17"/>
      <c r="G15" s="17"/>
      <c r="H15" s="17"/>
      <c r="I15" s="17"/>
      <c r="J15" s="23"/>
      <c r="O15" s="6" t="s">
        <v>30</v>
      </c>
      <c r="P15" s="6" t="s">
        <v>31</v>
      </c>
    </row>
    <row r="16" spans="1:31" x14ac:dyDescent="0.2">
      <c r="A16" s="27"/>
      <c r="B16" s="30" t="s">
        <v>32</v>
      </c>
      <c r="C16" s="31"/>
      <c r="D16" s="17">
        <v>6</v>
      </c>
      <c r="E16" s="17"/>
      <c r="F16" s="32">
        <v>7</v>
      </c>
      <c r="G16" s="17"/>
      <c r="H16" s="17"/>
      <c r="I16" s="17"/>
      <c r="J16" s="23"/>
      <c r="K16" s="1">
        <v>8</v>
      </c>
      <c r="N16" s="192"/>
      <c r="O16" s="193"/>
      <c r="P16" s="193"/>
      <c r="Q16" s="193"/>
      <c r="R16" s="194" t="s">
        <v>32</v>
      </c>
      <c r="S16" s="195" t="s">
        <v>33</v>
      </c>
      <c r="T16" s="195" t="s">
        <v>34</v>
      </c>
      <c r="U16" s="192"/>
      <c r="V16" s="193" t="s">
        <v>35</v>
      </c>
      <c r="W16" s="196" t="s">
        <v>36</v>
      </c>
      <c r="X16" s="52"/>
    </row>
    <row r="17" spans="1:23" x14ac:dyDescent="0.2">
      <c r="A17" s="33" t="s">
        <v>37</v>
      </c>
      <c r="B17" s="28" t="s">
        <v>38</v>
      </c>
      <c r="C17" s="28" t="s">
        <v>39</v>
      </c>
      <c r="D17" s="28" t="s">
        <v>38</v>
      </c>
      <c r="E17" s="28" t="s">
        <v>39</v>
      </c>
      <c r="F17" s="28" t="s">
        <v>38</v>
      </c>
      <c r="G17" s="34" t="s">
        <v>40</v>
      </c>
      <c r="H17" s="34" t="s">
        <v>41</v>
      </c>
      <c r="I17" s="28" t="s">
        <v>42</v>
      </c>
      <c r="J17" s="51" t="s">
        <v>43</v>
      </c>
      <c r="K17" s="52" t="s">
        <v>44</v>
      </c>
      <c r="N17" s="192"/>
      <c r="O17" s="193" t="s">
        <v>45</v>
      </c>
      <c r="P17" s="193" t="s">
        <v>46</v>
      </c>
      <c r="Q17" s="193" t="s">
        <v>47</v>
      </c>
      <c r="R17" s="193" t="s">
        <v>38</v>
      </c>
      <c r="S17" s="193" t="s">
        <v>38</v>
      </c>
      <c r="T17" s="193" t="s">
        <v>38</v>
      </c>
      <c r="U17" s="192"/>
      <c r="V17" s="192"/>
      <c r="W17" s="190"/>
    </row>
    <row r="18" spans="1:23" x14ac:dyDescent="0.2">
      <c r="A18" s="27" t="s">
        <v>15</v>
      </c>
      <c r="B18" s="35">
        <v>0.25</v>
      </c>
      <c r="C18" s="36">
        <v>0</v>
      </c>
      <c r="D18" s="37">
        <v>0</v>
      </c>
      <c r="E18" s="36">
        <v>0</v>
      </c>
      <c r="F18" s="35">
        <v>0</v>
      </c>
      <c r="G18" s="35">
        <v>0</v>
      </c>
      <c r="H18" s="35">
        <v>0.04</v>
      </c>
      <c r="I18" s="17" t="s">
        <v>7</v>
      </c>
      <c r="J18" s="23">
        <v>1</v>
      </c>
      <c r="K18" s="17">
        <v>0</v>
      </c>
      <c r="N18" s="192">
        <v>1</v>
      </c>
      <c r="O18" s="197">
        <v>1</v>
      </c>
      <c r="P18" s="197">
        <v>500</v>
      </c>
      <c r="Q18" s="198">
        <v>0.28000000000000003</v>
      </c>
      <c r="R18" s="198">
        <v>0.14846652267818575</v>
      </c>
      <c r="S18" s="198">
        <v>2.1166306695464369E-2</v>
      </c>
      <c r="T18" s="198">
        <v>0.11036717062634993</v>
      </c>
      <c r="U18" s="192"/>
      <c r="V18" s="192">
        <f>IF(OR(AND(Paraiska!B$6 = 1, Paraiska!B$9=""),AND(Paraiska!B$6 = 2, Paraiska!B$9="", Paraiska!E$9="")),IF(AND(Paraiska!B$10+Paraiska!E$10&gt;=Support!O18, Paraiska!B$10+Paraiska!E$10&lt;=Support!P18),1,0), IF(AND(Paraiska!B$9+Paraiska!E$9&gt;=Support!O18, Paraiska!B$9+Paraiska!E$9 &lt;=Support!P18), 1, 0))</f>
        <v>0</v>
      </c>
      <c r="W18" s="193">
        <f>SUMPRODUCT(N18:N25, V18:V25)</f>
        <v>4</v>
      </c>
    </row>
    <row r="19" spans="1:23" x14ac:dyDescent="0.2">
      <c r="A19" s="27" t="s">
        <v>14</v>
      </c>
      <c r="B19" s="35">
        <v>0.13</v>
      </c>
      <c r="C19" s="36">
        <v>300</v>
      </c>
      <c r="D19" s="37">
        <v>0.02</v>
      </c>
      <c r="E19" s="36">
        <v>100</v>
      </c>
      <c r="F19" s="35">
        <v>0.05</v>
      </c>
      <c r="G19" s="35">
        <v>7.6316491272950537E-2</v>
      </c>
      <c r="H19" s="35">
        <v>0.04</v>
      </c>
      <c r="I19" s="17" t="s">
        <v>9</v>
      </c>
      <c r="J19" s="23">
        <v>12</v>
      </c>
      <c r="K19" s="17">
        <v>0.5</v>
      </c>
      <c r="N19" s="192">
        <v>2</v>
      </c>
      <c r="O19" s="197">
        <v>500</v>
      </c>
      <c r="P19" s="197">
        <v>1000</v>
      </c>
      <c r="Q19" s="198">
        <v>0.26</v>
      </c>
      <c r="R19" s="198">
        <v>0.13786177105831532</v>
      </c>
      <c r="S19" s="198">
        <v>1.9654427645788342E-2</v>
      </c>
      <c r="T19" s="198">
        <v>0.10248380129589636</v>
      </c>
      <c r="U19" s="192"/>
      <c r="V19" s="192">
        <f>IF(OR(AND(Paraiska!B$6 = 1, Paraiska!B$9=""),AND(Paraiska!B$6 = 2, Paraiska!B$9="", Paraiska!E$9="")),IF(AND(Paraiska!B$10+Paraiska!E$10&gt;Support!O19, Paraiska!B$10+Paraiska!E$10&lt;=Support!P19),1,0), IF(AND(Paraiska!B$9+Paraiska!E$9&gt;Support!O19, Paraiska!B$9+Paraiska!E$9 &lt;=Support!P19), 1, 0))</f>
        <v>0</v>
      </c>
      <c r="W19" s="190"/>
    </row>
    <row r="20" spans="1:23" x14ac:dyDescent="0.2">
      <c r="A20" s="27" t="s">
        <v>18</v>
      </c>
      <c r="B20" s="35">
        <v>0.121</v>
      </c>
      <c r="C20" s="36">
        <v>300</v>
      </c>
      <c r="D20" s="37">
        <v>0.02</v>
      </c>
      <c r="E20" s="36">
        <v>100</v>
      </c>
      <c r="F20" s="35">
        <v>7.0999999999999994E-2</v>
      </c>
      <c r="G20" s="35">
        <v>0.10270034785286498</v>
      </c>
      <c r="H20" s="35">
        <v>0.04</v>
      </c>
      <c r="I20" s="17" t="s">
        <v>9</v>
      </c>
      <c r="J20" s="23">
        <v>18</v>
      </c>
      <c r="K20" s="17">
        <v>0.5</v>
      </c>
      <c r="N20" s="192">
        <v>3</v>
      </c>
      <c r="O20" s="197">
        <v>1000</v>
      </c>
      <c r="P20" s="197">
        <v>5000</v>
      </c>
      <c r="Q20" s="198">
        <v>0.23</v>
      </c>
      <c r="R20" s="198">
        <v>0.12195464362850972</v>
      </c>
      <c r="S20" s="198">
        <v>1.7386609071274303E-2</v>
      </c>
      <c r="T20" s="198">
        <v>9.0658747300216003E-2</v>
      </c>
      <c r="U20" s="192"/>
      <c r="V20" s="192">
        <f>IF(OR(AND(Paraiska!B$6 = 1, Paraiska!B$9=""),AND(Paraiska!B$6 = 2, Paraiska!B$9="", Paraiska!E$9="")),IF(AND(Paraiska!B$10+Paraiska!E$10&gt;Support!O20, Paraiska!B$10+Paraiska!E$10&lt;=Support!P20),1,0), IF(AND(Paraiska!B$9+Paraiska!E$9&gt;Support!O20, Paraiska!B$9+Paraiska!E$9 &lt;=Support!P20), 1, 0))</f>
        <v>0</v>
      </c>
      <c r="W20" s="190"/>
    </row>
    <row r="21" spans="1:23" x14ac:dyDescent="0.2">
      <c r="A21" s="27" t="s">
        <v>20</v>
      </c>
      <c r="B21" s="35">
        <v>0.113</v>
      </c>
      <c r="C21" s="36">
        <v>300</v>
      </c>
      <c r="D21" s="37">
        <v>0.02</v>
      </c>
      <c r="E21" s="36">
        <v>100</v>
      </c>
      <c r="F21" s="35">
        <v>0.09</v>
      </c>
      <c r="G21" s="35">
        <v>0.12305037125973285</v>
      </c>
      <c r="H21" s="35">
        <v>0.04</v>
      </c>
      <c r="I21" s="17" t="s">
        <v>9</v>
      </c>
      <c r="J21" s="23">
        <v>24</v>
      </c>
      <c r="K21" s="17">
        <v>0.5</v>
      </c>
      <c r="N21" s="192">
        <v>4</v>
      </c>
      <c r="O21" s="197">
        <v>5000</v>
      </c>
      <c r="P21" s="197">
        <v>10000</v>
      </c>
      <c r="Q21" s="198">
        <v>0.21</v>
      </c>
      <c r="R21" s="198">
        <v>0.11134989200863929</v>
      </c>
      <c r="S21" s="198">
        <v>1.5874730021598275E-2</v>
      </c>
      <c r="T21" s="198">
        <v>8.2775377969762434E-2</v>
      </c>
      <c r="U21" s="192"/>
      <c r="V21" s="192">
        <f>IF(OR(AND(Paraiska!B$6 = 1, Paraiska!B$9=""),AND(Paraiska!B$6 = 2, Paraiska!B$9="", Paraiska!E$9="")),IF(AND(Paraiska!B$10+Paraiska!E$10&gt;Support!O21, Paraiska!B$10+Paraiska!E$10&lt;=Support!P21),1,0), IF(AND(Paraiska!B$9+Paraiska!E$9&gt;Support!O21, Paraiska!B$9+Paraiska!E$9 &lt;=Support!P21), 1, 0))</f>
        <v>1</v>
      </c>
      <c r="W21" s="190"/>
    </row>
    <row r="22" spans="1:23" x14ac:dyDescent="0.2">
      <c r="A22" s="27" t="s">
        <v>22</v>
      </c>
      <c r="B22" s="35">
        <v>0.104</v>
      </c>
      <c r="C22" s="36">
        <v>300</v>
      </c>
      <c r="D22" s="37">
        <v>0.02</v>
      </c>
      <c r="E22" s="36">
        <v>100</v>
      </c>
      <c r="F22" s="35">
        <v>0.108</v>
      </c>
      <c r="G22" s="35">
        <v>0.13713406506233672</v>
      </c>
      <c r="H22" s="35">
        <v>0.04</v>
      </c>
      <c r="I22" s="17" t="s">
        <v>9</v>
      </c>
      <c r="J22" s="23">
        <v>30</v>
      </c>
      <c r="K22" s="17">
        <v>0.5</v>
      </c>
      <c r="N22" s="192">
        <v>5</v>
      </c>
      <c r="O22" s="197">
        <v>10000</v>
      </c>
      <c r="P22" s="197">
        <v>20000</v>
      </c>
      <c r="Q22" s="198">
        <v>0.18</v>
      </c>
      <c r="R22" s="198">
        <v>9.5442764578833689E-2</v>
      </c>
      <c r="S22" s="198">
        <v>1.3606911447084235E-2</v>
      </c>
      <c r="T22" s="198">
        <v>7.0950323974082088E-2</v>
      </c>
      <c r="U22" s="192"/>
      <c r="V22" s="192">
        <f>IF(OR(AND(Paraiska!B$6 = 1, Paraiska!B$9=""),AND(Paraiska!B$6 = 2, Paraiska!B$9="", Paraiska!E$9="")),IF(AND(Paraiska!B$10+Paraiska!E$10&gt;Support!O22, Paraiska!B$10+Paraiska!E$10&lt;=Support!P22),1,0), IF(AND(Paraiska!B$9+Paraiska!E$9&gt;Support!O22, Paraiska!B$9+Paraiska!E$9 &lt;=Support!P22), 1, 0))</f>
        <v>0</v>
      </c>
      <c r="W22" s="190"/>
    </row>
    <row r="23" spans="1:23" x14ac:dyDescent="0.2">
      <c r="A23" s="27" t="s">
        <v>23</v>
      </c>
      <c r="B23" s="35">
        <v>9.6000000000000002E-2</v>
      </c>
      <c r="C23" s="36">
        <v>300</v>
      </c>
      <c r="D23" s="37">
        <v>0.02</v>
      </c>
      <c r="E23" s="36">
        <v>100</v>
      </c>
      <c r="F23" s="35">
        <v>0.123</v>
      </c>
      <c r="G23" s="35">
        <v>0.14479037575786446</v>
      </c>
      <c r="H23" s="35">
        <v>0.04</v>
      </c>
      <c r="I23" s="17" t="s">
        <v>9</v>
      </c>
      <c r="J23" s="23">
        <v>36</v>
      </c>
      <c r="K23" s="17">
        <v>0.5</v>
      </c>
      <c r="N23" s="192">
        <v>6</v>
      </c>
      <c r="O23" s="197">
        <v>20000</v>
      </c>
      <c r="P23" s="197">
        <v>50000</v>
      </c>
      <c r="Q23" s="198">
        <v>0.15</v>
      </c>
      <c r="R23" s="198">
        <v>7.9535637149028074E-2</v>
      </c>
      <c r="S23" s="198">
        <v>1.1339092872570197E-2</v>
      </c>
      <c r="T23" s="198">
        <v>5.9125269978401743E-2</v>
      </c>
      <c r="U23" s="192"/>
      <c r="V23" s="192">
        <f>IF(OR(AND(Paraiska!B$6 = 1, Paraiska!B$9=""),AND(Paraiska!B$6 = 2, Paraiska!B$9="", Paraiska!E$9="")),IF(AND(Paraiska!B$10+Paraiska!E$10&gt;Support!O23, Paraiska!B$10+Paraiska!E$10&lt;=Support!P23),1,0), IF(AND(Paraiska!B$9+Paraiska!E$9&gt;Support!O23, Paraiska!B$9+Paraiska!E$9 &lt;=Support!P23), 1, 0))</f>
        <v>0</v>
      </c>
      <c r="W23" s="190"/>
    </row>
    <row r="24" spans="1:23" x14ac:dyDescent="0.2">
      <c r="A24" s="27" t="s">
        <v>25</v>
      </c>
      <c r="B24" s="35">
        <v>8.7999999999999995E-2</v>
      </c>
      <c r="C24" s="36">
        <v>300</v>
      </c>
      <c r="D24" s="37">
        <v>0.02</v>
      </c>
      <c r="E24" s="36">
        <v>100</v>
      </c>
      <c r="F24" s="35">
        <v>0.13800000000000001</v>
      </c>
      <c r="G24" s="35">
        <v>0.16946973604135224</v>
      </c>
      <c r="H24" s="35">
        <v>0.04</v>
      </c>
      <c r="I24" s="17" t="s">
        <v>9</v>
      </c>
      <c r="J24" s="23">
        <v>42</v>
      </c>
      <c r="K24" s="17">
        <v>0.5</v>
      </c>
      <c r="N24" s="192">
        <v>7</v>
      </c>
      <c r="O24" s="192">
        <v>50000</v>
      </c>
      <c r="P24" s="192">
        <v>100000</v>
      </c>
      <c r="Q24" s="198">
        <v>0.1</v>
      </c>
      <c r="R24" s="198">
        <v>5.3023758099352052E-2</v>
      </c>
      <c r="S24" s="198">
        <v>7.5593952483801316E-3</v>
      </c>
      <c r="T24" s="198">
        <v>3.9416846652267828E-2</v>
      </c>
      <c r="U24" s="192"/>
      <c r="V24" s="192">
        <f>IF(OR(AND(Paraiska!B$6 = 1, Paraiska!B$9=""),AND(Paraiska!B$6 = 2, Paraiska!B$9="", Paraiska!E$9="")),IF(AND(Paraiska!B$10+Paraiska!E$10&gt;Support!O24, Paraiska!B$10+Paraiska!E$10&lt;=Support!P24),1,0), IF(AND(Paraiska!B$9+Paraiska!E$9&gt;Support!O24, Paraiska!B$9+Paraiska!E$9 &lt;=Support!P24), 1, 0))</f>
        <v>0</v>
      </c>
      <c r="W24" s="190"/>
    </row>
    <row r="25" spans="1:23" s="6" customFormat="1" x14ac:dyDescent="0.2">
      <c r="A25" s="27" t="s">
        <v>27</v>
      </c>
      <c r="B25" s="35">
        <v>0.08</v>
      </c>
      <c r="C25" s="36">
        <v>300</v>
      </c>
      <c r="D25" s="37">
        <v>0.02</v>
      </c>
      <c r="E25" s="36">
        <v>100</v>
      </c>
      <c r="F25" s="35">
        <v>0.15</v>
      </c>
      <c r="G25" s="35">
        <v>0.19448203394884239</v>
      </c>
      <c r="H25" s="35">
        <v>0.04</v>
      </c>
      <c r="I25" s="17" t="s">
        <v>9</v>
      </c>
      <c r="J25" s="23">
        <v>48</v>
      </c>
      <c r="K25" s="17">
        <v>0.5</v>
      </c>
      <c r="N25" s="192">
        <v>8</v>
      </c>
      <c r="O25" s="197">
        <v>100000</v>
      </c>
      <c r="P25" s="192" t="s">
        <v>48</v>
      </c>
      <c r="Q25" s="198">
        <v>0.1</v>
      </c>
      <c r="R25" s="198">
        <v>5.3023758099352052E-2</v>
      </c>
      <c r="S25" s="198">
        <v>7.5593952483801316E-3</v>
      </c>
      <c r="T25" s="198">
        <v>3.9416846652267828E-2</v>
      </c>
      <c r="U25" s="192"/>
      <c r="V25" s="192">
        <f>IF(OR(AND(Paraiska!B$6 = 1, Paraiska!B$9=""),AND(Paraiska!B$6 = 2, Paraiska!B$9="", Paraiska!E$9="")),IF(Paraiska!B$10+Paraiska!E$10&gt;Support!O25,1,0), IF(Paraiska!B$9+Paraiska!E$9&gt;Support!O25,1, 0))</f>
        <v>0</v>
      </c>
      <c r="W25" s="191"/>
    </row>
    <row r="26" spans="1:23" x14ac:dyDescent="0.2">
      <c r="A26" s="27"/>
      <c r="B26" s="28"/>
      <c r="C26" s="17"/>
      <c r="D26" s="17"/>
      <c r="E26" s="17"/>
      <c r="F26" s="17"/>
      <c r="G26" s="17"/>
      <c r="H26" s="17"/>
      <c r="I26" s="17"/>
      <c r="J26" s="23"/>
      <c r="N26" s="199"/>
      <c r="O26" s="199"/>
      <c r="P26" s="199"/>
      <c r="Q26" s="199"/>
      <c r="R26" s="199"/>
      <c r="S26" s="199"/>
      <c r="T26" s="199"/>
      <c r="U26" s="199"/>
      <c r="V26" s="199"/>
    </row>
    <row r="27" spans="1:23" x14ac:dyDescent="0.2">
      <c r="A27" s="27"/>
      <c r="B27" s="28"/>
      <c r="C27" s="17"/>
      <c r="D27" s="17"/>
      <c r="E27" s="17"/>
      <c r="F27" s="17"/>
      <c r="G27" s="17"/>
      <c r="H27" s="17"/>
      <c r="I27" s="17"/>
      <c r="J27" s="23"/>
      <c r="N27" s="199"/>
      <c r="O27" s="199"/>
      <c r="P27" s="199"/>
      <c r="Q27" s="199"/>
      <c r="R27" s="199"/>
      <c r="S27" s="199"/>
      <c r="T27" s="199"/>
      <c r="U27" s="199"/>
      <c r="V27" s="199"/>
    </row>
    <row r="28" spans="1:23" x14ac:dyDescent="0.2">
      <c r="A28" s="38"/>
      <c r="B28" s="39" t="s">
        <v>35</v>
      </c>
      <c r="C28" s="40"/>
      <c r="D28" s="40"/>
      <c r="E28" s="40"/>
      <c r="F28" s="40"/>
      <c r="G28" s="40"/>
      <c r="H28" s="40"/>
      <c r="I28" s="40"/>
      <c r="J28" s="41"/>
    </row>
    <row r="29" spans="1:23" x14ac:dyDescent="0.2">
      <c r="A29" s="27"/>
      <c r="B29" s="28"/>
      <c r="C29" s="17"/>
      <c r="D29" s="17"/>
      <c r="E29" s="17"/>
      <c r="F29" s="17"/>
      <c r="G29" s="17"/>
      <c r="H29" s="17"/>
      <c r="I29" s="17"/>
      <c r="J29" s="23"/>
    </row>
    <row r="30" spans="1:23" x14ac:dyDescent="0.2">
      <c r="A30" s="27" t="s">
        <v>49</v>
      </c>
      <c r="B30" s="17"/>
      <c r="C30" s="17"/>
      <c r="D30" s="17"/>
      <c r="E30" s="17"/>
      <c r="F30" s="17"/>
      <c r="G30" s="17"/>
      <c r="H30" s="17"/>
      <c r="I30" s="17"/>
      <c r="J30" s="23"/>
      <c r="N30" s="83">
        <v>0</v>
      </c>
      <c r="O30" s="83">
        <v>1</v>
      </c>
      <c r="S30" s="161" t="s">
        <v>327</v>
      </c>
    </row>
    <row r="31" spans="1:23" ht="33.75" x14ac:dyDescent="0.2">
      <c r="A31" s="27"/>
      <c r="B31" s="17"/>
      <c r="C31" s="17"/>
      <c r="D31" s="17"/>
      <c r="E31" s="17"/>
      <c r="F31" s="17"/>
      <c r="G31" s="17"/>
      <c r="H31" s="17"/>
      <c r="I31" s="17"/>
      <c r="J31" s="23"/>
      <c r="N31" s="214" t="s">
        <v>320</v>
      </c>
      <c r="O31" s="206" t="s">
        <v>326</v>
      </c>
      <c r="S31" s="83">
        <f>VLOOKUP(Paraiska!$B$27,'Darbu Sarasas'!$F$1:$K$55,6,FALSE)</f>
        <v>0</v>
      </c>
    </row>
    <row r="32" spans="1:23" x14ac:dyDescent="0.2">
      <c r="A32" s="42" t="s">
        <v>50</v>
      </c>
      <c r="B32" s="43" t="s">
        <v>51</v>
      </c>
      <c r="C32" s="42" t="s">
        <v>52</v>
      </c>
      <c r="D32" s="42" t="s">
        <v>53</v>
      </c>
      <c r="E32" s="17"/>
      <c r="F32" s="17"/>
      <c r="G32" s="17"/>
      <c r="H32" s="17"/>
      <c r="I32" s="17"/>
      <c r="J32" s="23"/>
      <c r="N32" s="206" t="s">
        <v>321</v>
      </c>
      <c r="O32" s="83"/>
    </row>
    <row r="33" spans="1:15" x14ac:dyDescent="0.2">
      <c r="A33" s="44"/>
      <c r="B33" s="45">
        <f>IF(OR(AND(Paraiska!B6 = 1, Paraiska!B9=""),AND(Paraiska!B6 = 2, Paraiska!B9="", Paraiska!E9="")),IF(OR(Paraiska!B11="PVM moketojas",Paraiska!B11="PVM moketojas - PVM neapmokestinama veikla (ne rangos darbai)")=TRUE,Paraiska!B10+Paraiska!E10+B45,Paraiska!B10+Paraiska!E10+D45),IF(OR(Paraiska!B11="PVM moketojas",Paraiska!B11="PVM moketojas - PVM neapmokestinama veikla (ne rangos darbai)")=TRUE,Paraiska!B9+Paraiska!E9+B45,Paraiska!B9+Paraiska!E9+D45))</f>
        <v>10536.4</v>
      </c>
      <c r="C33" s="45">
        <f>IF(OR(Paraiska!B11="PVM moketojas",Paraiska!B11="PVM moketojas - PVM neapmokestinama veikla (ne rangos darbai)")=TRUE,B33*0.21,0)</f>
        <v>2212.6439999999998</v>
      </c>
      <c r="D33" s="201">
        <f>SUM(B33,C33)</f>
        <v>12749.044</v>
      </c>
      <c r="E33" s="17"/>
      <c r="F33" s="17"/>
      <c r="G33" s="17"/>
      <c r="H33" s="17"/>
      <c r="I33" s="17"/>
      <c r="J33" s="23"/>
    </row>
    <row r="34" spans="1:15" x14ac:dyDescent="0.2">
      <c r="A34" s="17"/>
      <c r="B34" s="17"/>
      <c r="C34" s="17"/>
      <c r="D34" s="17"/>
      <c r="E34" s="17"/>
      <c r="F34" s="17"/>
      <c r="G34" s="17"/>
      <c r="H34" s="17"/>
      <c r="I34" s="17"/>
      <c r="J34" s="23"/>
    </row>
    <row r="35" spans="1:15" ht="33.75" x14ac:dyDescent="0.2">
      <c r="A35" s="17"/>
      <c r="B35" s="17"/>
      <c r="C35" s="17"/>
      <c r="D35" s="17"/>
      <c r="E35" s="17"/>
      <c r="F35" s="17"/>
      <c r="G35" s="17"/>
      <c r="H35" s="17"/>
      <c r="I35" s="17"/>
      <c r="J35" s="23"/>
      <c r="N35" s="214" t="s">
        <v>320</v>
      </c>
      <c r="O35" s="83" t="s">
        <v>9</v>
      </c>
    </row>
    <row r="36" spans="1:15" x14ac:dyDescent="0.2">
      <c r="A36" s="27"/>
      <c r="B36" s="28" t="s">
        <v>51</v>
      </c>
      <c r="C36" s="28" t="s">
        <v>52</v>
      </c>
      <c r="D36" s="28" t="s">
        <v>53</v>
      </c>
      <c r="E36" s="17"/>
      <c r="F36" s="17"/>
      <c r="G36" s="17"/>
      <c r="H36" s="17"/>
      <c r="I36" s="17"/>
      <c r="J36" s="23"/>
      <c r="N36" s="206" t="s">
        <v>321</v>
      </c>
      <c r="O36" s="83" t="s">
        <v>7</v>
      </c>
    </row>
    <row r="37" spans="1:15" x14ac:dyDescent="0.2">
      <c r="A37" s="27" t="s">
        <v>54</v>
      </c>
      <c r="B37" s="301">
        <f>IF(Paraiska!B35=Support!A18,IF(OR(AND(Paraiska!B6 = 1, Paraiska!B9=""),AND(Paraiska!B6 = 2, Paraiska!B9="", Paraiska!E9="")),ROUND(VLOOKUP(W18, N18:T25, 4, FALSE)*(Paraiska!B10+Paraiska!E10),2)+IF(F13&lt;=1,0,ROUND(IF(Paraiska!B36&lt;D8,0,Paraiska!B36*VLOOKUP(Paraiska!B35,Support!A18:K25,11,0))*(Paraiska!B10+Paraiska!E10),2)),ROUND(VLOOKUP(W18, N18:T25, 4, FALSE)*(Paraiska!B9+Paraiska!E9),2)+IF(F13&lt;=1,0,ROUND(IF(Paraiska!B36&lt;D8,0,Paraiska!B36*VLOOKUP(Paraiska!B35,Support!A18:K25,11,0))*(Paraiska!B9+Paraiska!E9),2))),IF(OR(AND(Paraiska!B6 = 1, Paraiska!B9=""),AND(Paraiska!B6 = 2, Paraiska!B9="", Paraiska!E9="")),ROUND(VLOOKUP(W18, N18:T25, 5, FALSE)*(Paraiska!B10+Paraiska!E10),2)+IF(F13&lt;=1,0,ROUND(IF(Paraiska!B36&lt;D8,0,Paraiska!B36*VLOOKUP(Paraiska!B35,Support!A18:K25,11,0))*(Paraiska!B10+Paraiska!E10),2)),ROUND(VLOOKUP(W18, N18:T25, 5, FALSE)*(Paraiska!B9+Paraiska!E9),2)+IF(F13&lt;=1,0,ROUND(IF(Paraiska!B36&lt;D8,0,Paraiska!B36*VLOOKUP(Paraiska!B35,Support!A18:K25,11,0))*(Paraiska!B9+Paraiska!E9),2))))</f>
        <v>2845.8500000000004</v>
      </c>
      <c r="C37" s="300">
        <f>ROUND(B37*0.21,2)</f>
        <v>597.63</v>
      </c>
      <c r="D37" s="300">
        <f>B37+C37</f>
        <v>3443.4800000000005</v>
      </c>
      <c r="E37" s="17"/>
      <c r="F37" s="17"/>
      <c r="G37" s="17"/>
      <c r="H37" s="17"/>
      <c r="I37" s="17"/>
      <c r="J37" s="23"/>
      <c r="N37" s="206" t="s">
        <v>326</v>
      </c>
      <c r="O37" s="83" t="s">
        <v>7</v>
      </c>
    </row>
    <row r="38" spans="1:15" x14ac:dyDescent="0.2">
      <c r="A38" s="27" t="s">
        <v>55</v>
      </c>
      <c r="B38" s="301"/>
      <c r="C38" s="300"/>
      <c r="D38" s="300"/>
      <c r="E38" s="17"/>
      <c r="F38" s="17"/>
      <c r="G38" s="17"/>
      <c r="H38" s="17"/>
      <c r="I38" s="17"/>
      <c r="J38" s="23"/>
    </row>
    <row r="39" spans="1:15" x14ac:dyDescent="0.2">
      <c r="A39" s="27" t="s">
        <v>56</v>
      </c>
      <c r="B39" s="301"/>
      <c r="C39" s="300"/>
      <c r="D39" s="300"/>
      <c r="E39" s="17"/>
      <c r="F39" s="17"/>
      <c r="G39" s="17"/>
      <c r="H39" s="17"/>
      <c r="I39" s="17"/>
      <c r="J39" s="23"/>
    </row>
    <row r="40" spans="1:15" x14ac:dyDescent="0.2">
      <c r="A40" s="27" t="s">
        <v>57</v>
      </c>
      <c r="B40" s="301"/>
      <c r="C40" s="300"/>
      <c r="D40" s="300"/>
      <c r="E40" s="17"/>
      <c r="F40" s="17"/>
      <c r="G40" s="17"/>
      <c r="H40" s="17"/>
      <c r="I40" s="17"/>
      <c r="J40" s="23"/>
    </row>
    <row r="41" spans="1:15" x14ac:dyDescent="0.2">
      <c r="A41" s="27" t="s">
        <v>58</v>
      </c>
      <c r="B41" s="301"/>
      <c r="C41" s="300"/>
      <c r="D41" s="300"/>
      <c r="E41" s="17"/>
      <c r="F41" s="17"/>
      <c r="G41" s="17"/>
      <c r="H41" s="17"/>
      <c r="I41" s="17"/>
      <c r="J41" s="23"/>
    </row>
    <row r="42" spans="1:15" x14ac:dyDescent="0.2">
      <c r="A42" s="27" t="s">
        <v>59</v>
      </c>
      <c r="B42" s="16">
        <f>IF(Paraiska!B35=Support!A18,0,IF(OR(AND(Paraiska!B6 = 1, Paraiska!B9=""),AND(Paraiska!B6 = 2, Paraiska!B9="", Paraiska!E9="")),ROUND(VLOOKUP(W18, N18:T25, 6, FALSE)*(Paraiska!B10+Paraiska!E10),2),ROUND(VLOOKUP(W18, N18:T25, 6, FALSE)*(Paraiska!B9+Paraiska!E9),2)))</f>
        <v>111.12</v>
      </c>
      <c r="C42" s="16">
        <f>ROUND(B42*0.21,2)</f>
        <v>23.34</v>
      </c>
      <c r="D42" s="16">
        <f>B42+C42</f>
        <v>134.46</v>
      </c>
      <c r="E42" s="17"/>
      <c r="F42" s="17"/>
      <c r="G42" s="17"/>
      <c r="H42" s="17"/>
      <c r="I42" s="17"/>
      <c r="J42" s="23"/>
    </row>
    <row r="43" spans="1:15" x14ac:dyDescent="0.2">
      <c r="A43" s="27" t="s">
        <v>60</v>
      </c>
      <c r="B43" s="16">
        <f>IF(Paraiska!B35=Support!A18,0,IF(OR(AND(Paraiska!B6 = 1, Paraiska!B9=""),AND(Paraiska!B6 = 2, Paraiska!B9="", Paraiska!E9="")),ROUND(VLOOKUP(W18, N18:T25, 7, FALSE)*(Paraiska!B10+Paraiska!E10),2),ROUND(VLOOKUP(W18, N18:T25, 7, FALSE)*(Paraiska!B9+Paraiska!E9),2)))</f>
        <v>579.42999999999995</v>
      </c>
      <c r="C43" s="16">
        <f>ROUND(B43*0.21,2)</f>
        <v>121.68</v>
      </c>
      <c r="D43" s="16">
        <f>B43+C43</f>
        <v>701.1099999999999</v>
      </c>
      <c r="E43" s="17"/>
      <c r="F43" s="17"/>
      <c r="G43" s="17"/>
      <c r="H43" s="17"/>
      <c r="I43" s="17"/>
      <c r="J43" s="23"/>
    </row>
    <row r="44" spans="1:15" x14ac:dyDescent="0.2">
      <c r="A44" s="27"/>
      <c r="B44" s="16"/>
      <c r="C44" s="16"/>
      <c r="D44" s="16"/>
      <c r="E44" s="17"/>
      <c r="F44" s="17"/>
      <c r="G44" s="17"/>
      <c r="H44" s="17"/>
      <c r="I44" s="17"/>
      <c r="J44" s="23"/>
    </row>
    <row r="45" spans="1:15" x14ac:dyDescent="0.2">
      <c r="A45" s="33" t="s">
        <v>61</v>
      </c>
      <c r="B45" s="47">
        <f>SUM(B37:B43)</f>
        <v>3536.4</v>
      </c>
      <c r="C45" s="47">
        <f>SUM(C37:C43)</f>
        <v>742.65000000000009</v>
      </c>
      <c r="D45" s="47">
        <f>SUM(D37:D43)</f>
        <v>4279.05</v>
      </c>
      <c r="E45" s="17"/>
      <c r="F45" s="17"/>
      <c r="G45" s="17"/>
      <c r="H45" s="17"/>
      <c r="I45" s="17"/>
      <c r="J45" s="23"/>
    </row>
    <row r="46" spans="1:15" x14ac:dyDescent="0.2">
      <c r="A46" s="27"/>
      <c r="B46" s="28"/>
      <c r="C46" s="17"/>
      <c r="D46" s="17"/>
      <c r="E46" s="17"/>
      <c r="F46" s="17"/>
      <c r="G46" s="17"/>
      <c r="H46" s="17"/>
      <c r="I46" s="17"/>
      <c r="J46" s="23"/>
    </row>
    <row r="47" spans="1:15" x14ac:dyDescent="0.2">
      <c r="A47" s="27"/>
      <c r="B47" s="28"/>
      <c r="C47" s="17"/>
      <c r="D47" s="17"/>
      <c r="E47" s="17"/>
      <c r="F47" s="17"/>
      <c r="G47" s="17"/>
      <c r="H47" s="17"/>
      <c r="I47" s="17"/>
      <c r="J47" s="23"/>
    </row>
    <row r="48" spans="1:15" x14ac:dyDescent="0.2">
      <c r="A48" s="38"/>
      <c r="B48" s="39" t="s">
        <v>62</v>
      </c>
      <c r="C48" s="40"/>
      <c r="D48" s="40"/>
      <c r="E48" s="40"/>
      <c r="F48" s="40"/>
      <c r="G48" s="40"/>
      <c r="H48" s="40"/>
      <c r="I48" s="40"/>
      <c r="J48" s="41"/>
    </row>
    <row r="49" spans="1:10" x14ac:dyDescent="0.2">
      <c r="A49" s="17"/>
      <c r="B49" s="17"/>
      <c r="C49" s="17"/>
      <c r="D49" s="17"/>
      <c r="E49" s="17"/>
      <c r="F49" s="17"/>
      <c r="G49" s="17"/>
      <c r="H49" s="17"/>
      <c r="I49" s="17"/>
      <c r="J49" s="23"/>
    </row>
    <row r="50" spans="1:10" x14ac:dyDescent="0.2">
      <c r="A50" s="27" t="s">
        <v>49</v>
      </c>
      <c r="B50" s="17"/>
      <c r="C50" s="17"/>
      <c r="D50" s="17"/>
      <c r="E50" s="17"/>
      <c r="F50" s="17"/>
      <c r="G50" s="17"/>
      <c r="H50" s="17"/>
      <c r="I50" s="17"/>
      <c r="J50" s="23"/>
    </row>
    <row r="51" spans="1:10" x14ac:dyDescent="0.2">
      <c r="A51" s="27"/>
      <c r="B51" s="17"/>
      <c r="C51" s="17"/>
      <c r="D51" s="17"/>
      <c r="E51" s="17"/>
      <c r="F51" s="17"/>
      <c r="G51" s="17"/>
      <c r="H51" s="17"/>
      <c r="I51" s="17"/>
      <c r="J51" s="23"/>
    </row>
    <row r="52" spans="1:10" x14ac:dyDescent="0.2">
      <c r="A52" s="42" t="s">
        <v>50</v>
      </c>
      <c r="B52" s="43" t="s">
        <v>51</v>
      </c>
      <c r="C52" s="42" t="s">
        <v>52</v>
      </c>
      <c r="D52" s="42" t="s">
        <v>53</v>
      </c>
      <c r="E52" s="17"/>
      <c r="F52" s="17"/>
      <c r="G52" s="17"/>
      <c r="H52" s="17"/>
      <c r="I52" s="17"/>
      <c r="J52" s="23"/>
    </row>
    <row r="53" spans="1:10" x14ac:dyDescent="0.2">
      <c r="A53" s="44"/>
      <c r="B53" s="45">
        <f>IF(OR(AND(Paraiska!B6 = 1, Paraiska!B9=""),AND(Paraiska!B6 = 2, Paraiska!B9="", Paraiska!E9="")),IF(OR(Paraiska!B11="PVM moketojas",Paraiska!B11="PVM moketojas - PVM neapmokestinama veikla (ne rangos darbai)")=TRUE,Paraiska!B10+B65,Paraiska!B10+D65),IF(OR(Paraiska!B11="PVM moketojas",Paraiska!B11="PVM moketojas - PVM neapmokestinama veikla (ne rangos darbai)")=TRUE,Paraiska!B9+B65,Paraiska!B9+D65))</f>
        <v>10536.4</v>
      </c>
      <c r="C53" s="45">
        <f>IF(OR(Paraiska!B11="PVM moketojas",Paraiska!B11="PVM moketojas - PVM neapmokestinama veikla (ne rangos darbai)")=TRUE,B53*0.21,0)</f>
        <v>2212.6439999999998</v>
      </c>
      <c r="D53" s="45">
        <f>SUM(B53,C53)</f>
        <v>12749.044</v>
      </c>
      <c r="E53" s="17"/>
      <c r="F53" s="17"/>
      <c r="G53" s="17"/>
      <c r="H53" s="17"/>
      <c r="I53" s="17"/>
      <c r="J53" s="23"/>
    </row>
    <row r="54" spans="1:10" x14ac:dyDescent="0.2">
      <c r="A54" s="17"/>
      <c r="B54" s="17"/>
      <c r="C54" s="17"/>
      <c r="D54" s="17"/>
      <c r="E54" s="17"/>
      <c r="F54" s="17"/>
      <c r="G54" s="17"/>
      <c r="H54" s="17"/>
      <c r="I54" s="17"/>
      <c r="J54" s="23"/>
    </row>
    <row r="55" spans="1:10" x14ac:dyDescent="0.2">
      <c r="A55" s="17"/>
      <c r="B55" s="17"/>
      <c r="C55" s="17"/>
      <c r="D55" s="17"/>
      <c r="E55" s="17"/>
      <c r="F55" s="17"/>
      <c r="G55" s="17"/>
      <c r="H55" s="17"/>
      <c r="I55" s="17"/>
      <c r="J55" s="23"/>
    </row>
    <row r="56" spans="1:10" x14ac:dyDescent="0.2">
      <c r="A56" s="27"/>
      <c r="B56" s="28" t="s">
        <v>51</v>
      </c>
      <c r="C56" s="28" t="s">
        <v>52</v>
      </c>
      <c r="D56" s="28" t="s">
        <v>53</v>
      </c>
      <c r="E56" s="17"/>
      <c r="F56" s="17"/>
      <c r="G56" s="17"/>
      <c r="H56" s="17"/>
      <c r="I56" s="17"/>
      <c r="J56" s="23"/>
    </row>
    <row r="57" spans="1:10" x14ac:dyDescent="0.2">
      <c r="A57" s="27" t="s">
        <v>54</v>
      </c>
      <c r="B57" s="300">
        <f>IF(OR(AND(Paraiska!B6 = 1, Paraiska!B9=""),AND(Paraiska!B6 = 2, Paraiska!B9="", Paraiska!E9="")),IFERROR(B37/SUM(Paraiska!B10:G10)*Paraiska!B10,0),IFERROR(B37/SUM(Paraiska!B9:G9)*Paraiska!B9,0))</f>
        <v>2845.8500000000004</v>
      </c>
      <c r="C57" s="300">
        <f>ROUND(B57*0.21,2)</f>
        <v>597.63</v>
      </c>
      <c r="D57" s="300">
        <f>B57+C57</f>
        <v>3443.4800000000005</v>
      </c>
      <c r="E57" s="17"/>
      <c r="F57" s="17"/>
      <c r="G57" s="17"/>
      <c r="H57" s="17"/>
      <c r="I57" s="17"/>
      <c r="J57" s="23"/>
    </row>
    <row r="58" spans="1:10" x14ac:dyDescent="0.2">
      <c r="A58" s="27" t="s">
        <v>55</v>
      </c>
      <c r="B58" s="300"/>
      <c r="C58" s="300"/>
      <c r="D58" s="300"/>
      <c r="E58" s="17"/>
      <c r="F58" s="46"/>
      <c r="G58" s="46"/>
      <c r="H58" s="17"/>
      <c r="I58" s="17"/>
      <c r="J58" s="23"/>
    </row>
    <row r="59" spans="1:10" x14ac:dyDescent="0.2">
      <c r="A59" s="27" t="s">
        <v>56</v>
      </c>
      <c r="B59" s="300"/>
      <c r="C59" s="300"/>
      <c r="D59" s="300"/>
      <c r="E59" s="36"/>
      <c r="F59" s="17"/>
      <c r="G59" s="17"/>
      <c r="H59" s="17"/>
      <c r="I59" s="17"/>
      <c r="J59" s="23"/>
    </row>
    <row r="60" spans="1:10" x14ac:dyDescent="0.2">
      <c r="A60" s="27" t="s">
        <v>57</v>
      </c>
      <c r="B60" s="300"/>
      <c r="C60" s="300"/>
      <c r="D60" s="300"/>
      <c r="E60" s="17"/>
      <c r="F60" s="17"/>
      <c r="G60" s="17"/>
      <c r="H60" s="17"/>
      <c r="I60" s="17"/>
      <c r="J60" s="23"/>
    </row>
    <row r="61" spans="1:10" x14ac:dyDescent="0.2">
      <c r="A61" s="27" t="s">
        <v>58</v>
      </c>
      <c r="B61" s="300"/>
      <c r="C61" s="300"/>
      <c r="D61" s="300"/>
      <c r="E61" s="17"/>
      <c r="F61" s="17"/>
      <c r="G61" s="17"/>
      <c r="H61" s="17"/>
      <c r="I61" s="17"/>
      <c r="J61" s="23"/>
    </row>
    <row r="62" spans="1:10" x14ac:dyDescent="0.2">
      <c r="A62" s="27" t="s">
        <v>59</v>
      </c>
      <c r="B62" s="16">
        <f>IF(OR(AND(Paraiska!B6 = 1, Paraiska!B9=""),AND(Paraiska!B6 = 2, Paraiska!B9="", Paraiska!E9="")),IFERROR(B42/SUM(Paraiska!B10:G10)*Paraiska!B10,0),IFERROR(B42/SUM(Paraiska!B9:G9)*Paraiska!B9,0))</f>
        <v>111.12</v>
      </c>
      <c r="C62" s="16">
        <f>ROUND(B62*0.21,2)</f>
        <v>23.34</v>
      </c>
      <c r="D62" s="16">
        <f>B62+C62</f>
        <v>134.46</v>
      </c>
      <c r="E62" s="17"/>
      <c r="F62" s="17"/>
      <c r="G62" s="17"/>
      <c r="H62" s="17"/>
      <c r="I62" s="17"/>
      <c r="J62" s="23"/>
    </row>
    <row r="63" spans="1:10" x14ac:dyDescent="0.2">
      <c r="A63" s="27" t="s">
        <v>60</v>
      </c>
      <c r="B63" s="16">
        <f>IF(OR(AND(Paraiska!B6 = 1, Paraiska!B9=""),AND(Paraiska!B6 = 2, Paraiska!B9="", Paraiska!E9="")),IFERROR(B43/SUM(Paraiska!B10:G10)*Paraiska!B10,0),IFERROR(B43/SUM(Paraiska!B9:G9)*Paraiska!B9,0))</f>
        <v>579.42999999999995</v>
      </c>
      <c r="C63" s="16">
        <f>ROUND(B63*0.21,2)</f>
        <v>121.68</v>
      </c>
      <c r="D63" s="16">
        <f>B63+C63</f>
        <v>701.1099999999999</v>
      </c>
      <c r="E63" s="17"/>
      <c r="F63" s="17"/>
      <c r="G63" s="17"/>
      <c r="H63" s="17"/>
      <c r="I63" s="17"/>
      <c r="J63" s="23"/>
    </row>
    <row r="64" spans="1:10" x14ac:dyDescent="0.2">
      <c r="A64" s="27"/>
      <c r="B64" s="16"/>
      <c r="C64" s="16"/>
      <c r="D64" s="16"/>
      <c r="E64" s="17"/>
      <c r="F64" s="17"/>
      <c r="G64" s="17"/>
      <c r="H64" s="17"/>
      <c r="I64" s="17"/>
      <c r="J64" s="23"/>
    </row>
    <row r="65" spans="1:10" x14ac:dyDescent="0.2">
      <c r="A65" s="33" t="s">
        <v>61</v>
      </c>
      <c r="B65" s="47">
        <f>SUM(B57:B63)</f>
        <v>3536.4</v>
      </c>
      <c r="C65" s="47">
        <f>SUM(C57:C63)</f>
        <v>742.65000000000009</v>
      </c>
      <c r="D65" s="47">
        <f>SUM(D57:D63)</f>
        <v>4279.05</v>
      </c>
      <c r="E65" s="17"/>
      <c r="F65" s="17"/>
      <c r="G65" s="17"/>
      <c r="H65" s="17"/>
      <c r="I65" s="17"/>
      <c r="J65" s="23"/>
    </row>
    <row r="66" spans="1:10" x14ac:dyDescent="0.2">
      <c r="A66" s="17"/>
      <c r="B66" s="17"/>
      <c r="C66" s="17"/>
      <c r="D66" s="17"/>
      <c r="E66" s="17"/>
      <c r="F66" s="17"/>
      <c r="G66" s="17"/>
      <c r="H66" s="17"/>
      <c r="I66" s="17"/>
      <c r="J66" s="23"/>
    </row>
    <row r="67" spans="1:10" x14ac:dyDescent="0.2">
      <c r="A67" s="17"/>
      <c r="B67" s="17"/>
      <c r="C67" s="17"/>
      <c r="D67" s="17"/>
      <c r="E67" s="17"/>
      <c r="F67" s="17"/>
      <c r="G67" s="17"/>
      <c r="H67" s="17"/>
      <c r="I67" s="17"/>
      <c r="J67" s="23"/>
    </row>
    <row r="68" spans="1:10" x14ac:dyDescent="0.2">
      <c r="A68" s="38"/>
      <c r="B68" s="39" t="s">
        <v>63</v>
      </c>
      <c r="C68" s="40"/>
      <c r="D68" s="40"/>
      <c r="E68" s="40"/>
      <c r="F68" s="40"/>
      <c r="G68" s="40"/>
      <c r="H68" s="40"/>
      <c r="I68" s="40"/>
      <c r="J68" s="41"/>
    </row>
    <row r="69" spans="1:10" x14ac:dyDescent="0.2">
      <c r="A69" s="17"/>
      <c r="B69" s="17"/>
      <c r="C69" s="17"/>
      <c r="D69" s="17"/>
      <c r="E69" s="17"/>
      <c r="F69" s="17"/>
      <c r="G69" s="17"/>
      <c r="H69" s="17"/>
      <c r="I69" s="17"/>
      <c r="J69" s="23"/>
    </row>
    <row r="70" spans="1:10" x14ac:dyDescent="0.2">
      <c r="A70" s="17" t="s">
        <v>49</v>
      </c>
      <c r="B70" s="17"/>
      <c r="C70" s="17"/>
      <c r="D70" s="17"/>
      <c r="E70" s="17"/>
      <c r="F70" s="17"/>
      <c r="G70" s="17"/>
      <c r="H70" s="17"/>
      <c r="I70" s="17"/>
      <c r="J70" s="23"/>
    </row>
    <row r="71" spans="1:10" x14ac:dyDescent="0.2">
      <c r="A71" s="48"/>
      <c r="B71" s="17"/>
      <c r="C71" s="17"/>
      <c r="D71" s="17"/>
      <c r="E71" s="36"/>
      <c r="F71" s="36"/>
      <c r="G71" s="36"/>
      <c r="H71" s="17"/>
      <c r="I71" s="17"/>
      <c r="J71" s="23"/>
    </row>
    <row r="72" spans="1:10" x14ac:dyDescent="0.2">
      <c r="A72" s="42" t="s">
        <v>50</v>
      </c>
      <c r="B72" s="43" t="s">
        <v>51</v>
      </c>
      <c r="C72" s="42" t="s">
        <v>52</v>
      </c>
      <c r="D72" s="42" t="s">
        <v>53</v>
      </c>
      <c r="E72" s="17"/>
      <c r="F72" s="17"/>
      <c r="G72" s="17"/>
      <c r="H72" s="17"/>
      <c r="I72" s="17"/>
      <c r="J72" s="23"/>
    </row>
    <row r="73" spans="1:10" x14ac:dyDescent="0.2">
      <c r="A73" s="44"/>
      <c r="B73" s="45">
        <f>IF(OR(AND(Paraiska!B6 = 1, Paraiska!B9=""),AND(Paraiska!B6 = 2, Paraiska!B9="", Paraiska!E9="")),IF(OR(Paraiska!B11="PVM moketojas",Paraiska!B11="PVM moketojas - PVM neapmokestinama veikla (ne rangos darbai)")=TRUE,Paraiska!E10+B86,Paraiska!E10+D86),IF(OR(Paraiska!B11="PVM moketojas",Paraiska!B11="PVM moketojas - PVM neapmokestinama veikla (ne rangos darbai)")=TRUE,Paraiska!E9+B86,Paraiska!E9+D86))</f>
        <v>0</v>
      </c>
      <c r="C73" s="45">
        <f>IF(OR(Paraiska!B11="PVM moketojas",Paraiska!B11="PVM moketojas - PVM neapmokestinama veikla (ne rangos darbai)")=TRUE,B73*0.21,0)</f>
        <v>0</v>
      </c>
      <c r="D73" s="45">
        <f>SUM(B73,C73)</f>
        <v>0</v>
      </c>
      <c r="E73" s="28"/>
      <c r="F73" s="17"/>
      <c r="G73" s="28"/>
      <c r="H73" s="28"/>
      <c r="I73" s="28"/>
      <c r="J73" s="23"/>
    </row>
    <row r="74" spans="1:10" x14ac:dyDescent="0.2">
      <c r="A74" s="17"/>
      <c r="B74" s="17"/>
      <c r="C74" s="17"/>
      <c r="D74" s="17"/>
      <c r="E74" s="36"/>
      <c r="F74" s="36"/>
      <c r="G74" s="36"/>
      <c r="H74" s="49"/>
      <c r="I74" s="28"/>
      <c r="J74" s="23"/>
    </row>
    <row r="75" spans="1:10" x14ac:dyDescent="0.2">
      <c r="A75" s="17"/>
      <c r="B75" s="17"/>
      <c r="C75" s="17"/>
      <c r="D75" s="17"/>
      <c r="E75" s="17"/>
      <c r="F75" s="17"/>
      <c r="G75" s="17"/>
      <c r="H75" s="28"/>
      <c r="I75" s="28"/>
      <c r="J75" s="23"/>
    </row>
    <row r="76" spans="1:10" x14ac:dyDescent="0.2">
      <c r="A76" s="17"/>
      <c r="B76" s="17"/>
      <c r="C76" s="17"/>
      <c r="D76" s="17"/>
      <c r="E76" s="17"/>
      <c r="F76" s="17"/>
      <c r="G76" s="17"/>
      <c r="H76" s="28"/>
      <c r="I76" s="28"/>
      <c r="J76" s="23"/>
    </row>
    <row r="77" spans="1:10" x14ac:dyDescent="0.2">
      <c r="A77" s="17"/>
      <c r="B77" s="28" t="s">
        <v>51</v>
      </c>
      <c r="C77" s="28" t="s">
        <v>52</v>
      </c>
      <c r="D77" s="28" t="s">
        <v>53</v>
      </c>
      <c r="E77" s="17"/>
      <c r="F77" s="17"/>
      <c r="G77" s="17"/>
      <c r="H77" s="28"/>
      <c r="I77" s="28"/>
      <c r="J77" s="23"/>
    </row>
    <row r="78" spans="1:10" x14ac:dyDescent="0.2">
      <c r="A78" s="17" t="s">
        <v>54</v>
      </c>
      <c r="B78" s="300">
        <f>B37-B57</f>
        <v>0</v>
      </c>
      <c r="C78" s="300">
        <f>C37-C57</f>
        <v>0</v>
      </c>
      <c r="D78" s="300">
        <f>B78+C78</f>
        <v>0</v>
      </c>
      <c r="E78" s="17"/>
      <c r="F78" s="17"/>
      <c r="G78" s="17"/>
      <c r="H78" s="28"/>
      <c r="I78" s="28"/>
      <c r="J78" s="23"/>
    </row>
    <row r="79" spans="1:10" x14ac:dyDescent="0.2">
      <c r="A79" s="17" t="s">
        <v>55</v>
      </c>
      <c r="B79" s="300"/>
      <c r="C79" s="300"/>
      <c r="D79" s="300">
        <f t="shared" ref="D79:D82" si="0">B79+C79</f>
        <v>0</v>
      </c>
      <c r="E79" s="17"/>
      <c r="F79" s="17"/>
      <c r="G79" s="17"/>
      <c r="H79" s="28"/>
      <c r="I79" s="28"/>
      <c r="J79" s="23"/>
    </row>
    <row r="80" spans="1:10" x14ac:dyDescent="0.2">
      <c r="A80" s="17" t="s">
        <v>56</v>
      </c>
      <c r="B80" s="300"/>
      <c r="C80" s="300"/>
      <c r="D80" s="300">
        <f t="shared" si="0"/>
        <v>0</v>
      </c>
      <c r="E80" s="36"/>
      <c r="F80" s="17"/>
      <c r="G80" s="17"/>
      <c r="H80" s="28"/>
      <c r="I80" s="28"/>
      <c r="J80" s="23"/>
    </row>
    <row r="81" spans="1:10" x14ac:dyDescent="0.2">
      <c r="A81" s="17" t="s">
        <v>57</v>
      </c>
      <c r="B81" s="300"/>
      <c r="C81" s="300"/>
      <c r="D81" s="300">
        <f t="shared" si="0"/>
        <v>0</v>
      </c>
      <c r="E81" s="17"/>
      <c r="F81" s="17"/>
      <c r="G81" s="17"/>
      <c r="H81" s="28"/>
      <c r="I81" s="28"/>
      <c r="J81" s="23"/>
    </row>
    <row r="82" spans="1:10" x14ac:dyDescent="0.2">
      <c r="A82" s="17" t="s">
        <v>58</v>
      </c>
      <c r="B82" s="300"/>
      <c r="C82" s="300"/>
      <c r="D82" s="300">
        <f t="shared" si="0"/>
        <v>0</v>
      </c>
      <c r="E82" s="17"/>
      <c r="F82" s="17"/>
      <c r="G82" s="17"/>
      <c r="H82" s="28"/>
      <c r="I82" s="28"/>
      <c r="J82" s="23"/>
    </row>
    <row r="83" spans="1:10" x14ac:dyDescent="0.2">
      <c r="A83" s="17" t="s">
        <v>59</v>
      </c>
      <c r="B83" s="16">
        <f>B42-B62</f>
        <v>0</v>
      </c>
      <c r="C83" s="16">
        <f>C42-C62</f>
        <v>0</v>
      </c>
      <c r="D83" s="16">
        <f>B83+C83</f>
        <v>0</v>
      </c>
      <c r="E83" s="17"/>
      <c r="F83" s="17"/>
      <c r="G83" s="17"/>
      <c r="H83" s="28"/>
      <c r="I83" s="28"/>
      <c r="J83" s="23"/>
    </row>
    <row r="84" spans="1:10" x14ac:dyDescent="0.2">
      <c r="A84" s="17" t="s">
        <v>60</v>
      </c>
      <c r="B84" s="16">
        <f>B43-B63</f>
        <v>0</v>
      </c>
      <c r="C84" s="16">
        <f>C43-C63</f>
        <v>0</v>
      </c>
      <c r="D84" s="16">
        <f>B84+C84</f>
        <v>0</v>
      </c>
      <c r="E84" s="17"/>
      <c r="F84" s="17"/>
      <c r="G84" s="17"/>
      <c r="H84" s="28"/>
      <c r="I84" s="28"/>
      <c r="J84" s="23"/>
    </row>
    <row r="85" spans="1:10" x14ac:dyDescent="0.2">
      <c r="A85" s="27"/>
      <c r="B85" s="16"/>
      <c r="C85" s="16"/>
      <c r="D85" s="16"/>
      <c r="E85" s="17"/>
      <c r="F85" s="17"/>
      <c r="G85" s="17"/>
      <c r="H85" s="28"/>
      <c r="I85" s="28"/>
      <c r="J85" s="23"/>
    </row>
    <row r="86" spans="1:10" x14ac:dyDescent="0.2">
      <c r="A86" s="28" t="s">
        <v>61</v>
      </c>
      <c r="B86" s="47">
        <f>SUM(B78:B84)</f>
        <v>0</v>
      </c>
      <c r="C86" s="47">
        <f>SUM(C78:C84)</f>
        <v>0</v>
      </c>
      <c r="D86" s="47">
        <f>SUM(D78:D84)</f>
        <v>0</v>
      </c>
      <c r="E86" s="17"/>
      <c r="F86" s="17"/>
      <c r="G86" s="17"/>
      <c r="H86" s="28"/>
      <c r="I86" s="28"/>
      <c r="J86" s="23"/>
    </row>
    <row r="87" spans="1:10" x14ac:dyDescent="0.2">
      <c r="A87" s="48"/>
      <c r="B87" s="48"/>
      <c r="C87" s="48"/>
      <c r="D87" s="48"/>
      <c r="E87" s="48"/>
      <c r="F87" s="48"/>
      <c r="G87" s="48"/>
      <c r="H87" s="64"/>
      <c r="I87" s="64"/>
      <c r="J87" s="50"/>
    </row>
    <row r="89" spans="1:10" x14ac:dyDescent="0.2">
      <c r="A89" s="1" t="s">
        <v>64</v>
      </c>
    </row>
    <row r="90" spans="1:10" x14ac:dyDescent="0.2">
      <c r="A90" s="1" t="s">
        <v>65</v>
      </c>
    </row>
    <row r="91" spans="1:10" x14ac:dyDescent="0.2">
      <c r="A91" s="8" t="s">
        <v>66</v>
      </c>
    </row>
    <row r="92" spans="1:10" x14ac:dyDescent="0.2">
      <c r="A92" s="8" t="s">
        <v>67</v>
      </c>
    </row>
    <row r="93" spans="1:10" x14ac:dyDescent="0.2">
      <c r="A93" s="8" t="s">
        <v>68</v>
      </c>
    </row>
    <row r="94" spans="1:10" x14ac:dyDescent="0.2">
      <c r="A94" s="1" t="s">
        <v>69</v>
      </c>
    </row>
    <row r="95" spans="1:10" x14ac:dyDescent="0.2">
      <c r="A95" s="1" t="s">
        <v>70</v>
      </c>
    </row>
    <row r="96" spans="1:10" x14ac:dyDescent="0.2">
      <c r="A96" s="1" t="s">
        <v>71</v>
      </c>
    </row>
    <row r="97" spans="1:1" x14ac:dyDescent="0.2">
      <c r="A97" s="1" t="s">
        <v>72</v>
      </c>
    </row>
    <row r="98" spans="1:1" x14ac:dyDescent="0.2">
      <c r="A98" s="7" t="s">
        <v>73</v>
      </c>
    </row>
    <row r="99" spans="1:1" x14ac:dyDescent="0.2">
      <c r="A99" s="7" t="s">
        <v>74</v>
      </c>
    </row>
    <row r="100" spans="1:1" x14ac:dyDescent="0.2">
      <c r="A100" s="1" t="s">
        <v>75</v>
      </c>
    </row>
    <row r="101" spans="1:1" x14ac:dyDescent="0.2">
      <c r="A101" s="1" t="s">
        <v>76</v>
      </c>
    </row>
    <row r="102" spans="1:1" x14ac:dyDescent="0.2">
      <c r="A102" s="1" t="s">
        <v>77</v>
      </c>
    </row>
    <row r="103" spans="1:1" x14ac:dyDescent="0.2">
      <c r="A103" s="7" t="s">
        <v>78</v>
      </c>
    </row>
    <row r="104" spans="1:1" x14ac:dyDescent="0.2">
      <c r="A104" s="1" t="s">
        <v>79</v>
      </c>
    </row>
    <row r="105" spans="1:1" x14ac:dyDescent="0.2">
      <c r="A105" s="1" t="s">
        <v>316</v>
      </c>
    </row>
    <row r="118" spans="1:10" x14ac:dyDescent="0.2">
      <c r="A118" s="150"/>
      <c r="B118" s="151" t="s">
        <v>80</v>
      </c>
      <c r="C118" s="152"/>
      <c r="D118" s="152"/>
      <c r="E118" s="152"/>
      <c r="F118" s="152"/>
      <c r="G118" s="152"/>
      <c r="H118" s="152"/>
      <c r="I118" s="152"/>
      <c r="J118" s="153"/>
    </row>
    <row r="119" spans="1:10" x14ac:dyDescent="0.2">
      <c r="A119" s="147"/>
      <c r="B119" s="148"/>
      <c r="C119" s="148"/>
      <c r="D119" s="148"/>
      <c r="E119" s="148"/>
      <c r="F119" s="148"/>
      <c r="G119" s="148"/>
      <c r="H119" s="148"/>
      <c r="I119" s="148"/>
      <c r="J119" s="149"/>
    </row>
    <row r="120" spans="1:10" x14ac:dyDescent="0.2">
      <c r="A120" s="38"/>
      <c r="B120" s="39" t="s">
        <v>35</v>
      </c>
      <c r="C120" s="40"/>
      <c r="D120" s="40"/>
      <c r="E120" s="40"/>
      <c r="F120" s="40"/>
      <c r="G120" s="40"/>
      <c r="H120" s="40"/>
      <c r="I120" s="40"/>
      <c r="J120" s="41"/>
    </row>
    <row r="121" spans="1:10" x14ac:dyDescent="0.2">
      <c r="A121" s="27"/>
      <c r="B121" s="28"/>
      <c r="C121" s="17"/>
      <c r="D121" s="17"/>
      <c r="E121" s="17"/>
      <c r="F121" s="17"/>
      <c r="G121" s="17"/>
      <c r="H121" s="17"/>
      <c r="I121" s="17"/>
      <c r="J121" s="23"/>
    </row>
    <row r="122" spans="1:10" x14ac:dyDescent="0.2">
      <c r="A122" s="27" t="s">
        <v>49</v>
      </c>
      <c r="B122" s="17"/>
      <c r="C122" s="17"/>
      <c r="D122" s="17"/>
      <c r="E122" s="17"/>
      <c r="F122" s="17"/>
      <c r="G122" s="17"/>
      <c r="H122" s="17"/>
      <c r="I122" s="17"/>
      <c r="J122" s="23"/>
    </row>
    <row r="123" spans="1:10" x14ac:dyDescent="0.2">
      <c r="A123" s="27"/>
      <c r="B123" s="17"/>
      <c r="C123" s="17"/>
      <c r="D123" s="17"/>
      <c r="E123" s="17"/>
      <c r="F123" s="17"/>
      <c r="G123" s="17"/>
      <c r="H123" s="17"/>
      <c r="I123" s="17"/>
      <c r="J123" s="23"/>
    </row>
    <row r="124" spans="1:10" x14ac:dyDescent="0.2">
      <c r="A124" s="42" t="s">
        <v>50</v>
      </c>
      <c r="B124" s="43" t="s">
        <v>51</v>
      </c>
      <c r="C124" s="42" t="s">
        <v>52</v>
      </c>
      <c r="D124" s="42" t="s">
        <v>53</v>
      </c>
      <c r="E124" s="17"/>
      <c r="F124" s="17"/>
      <c r="G124" s="17"/>
      <c r="H124" s="17"/>
      <c r="I124" s="17"/>
      <c r="J124" s="23"/>
    </row>
    <row r="125" spans="1:10" x14ac:dyDescent="0.2">
      <c r="A125" s="44"/>
      <c r="B125" s="45">
        <f>IF(OR(Paraiska!B11="PVM moketojas",Paraiska!B11="PVM moketojas - PVM neapmokestinama veikla (ne rangos darbai)")=TRUE,Paraiska!B10+Paraiska!E10+B137,Paraiska!B10+Paraiska!E10+D137)</f>
        <v>10536.4</v>
      </c>
      <c r="C125" s="45">
        <f>IF(OR(Paraiska!B11="PVM moketojas",Paraiska!B11="PVM moketojas - PVM neapmokestinama veikla (ne rangos darbai)")=TRUE,B125*0.21,0)</f>
        <v>2212.6439999999998</v>
      </c>
      <c r="D125" s="45">
        <f>SUM(B125,C125)</f>
        <v>12749.044</v>
      </c>
      <c r="E125" s="17"/>
      <c r="F125" s="17"/>
      <c r="G125" s="17"/>
      <c r="H125" s="17"/>
      <c r="I125" s="17"/>
      <c r="J125" s="23"/>
    </row>
    <row r="126" spans="1:10" x14ac:dyDescent="0.2">
      <c r="A126" s="17"/>
      <c r="B126" s="17"/>
      <c r="C126" s="17"/>
      <c r="D126" s="17"/>
      <c r="E126" s="17"/>
      <c r="F126" s="17"/>
      <c r="G126" s="17"/>
      <c r="H126" s="17"/>
      <c r="I126" s="17"/>
      <c r="J126" s="23"/>
    </row>
    <row r="127" spans="1:10" x14ac:dyDescent="0.2">
      <c r="A127" s="17"/>
      <c r="B127" s="17"/>
      <c r="C127" s="17"/>
      <c r="D127" s="17"/>
      <c r="E127" s="17"/>
      <c r="F127" s="17"/>
      <c r="G127" s="17"/>
      <c r="H127" s="17"/>
      <c r="I127" s="17"/>
      <c r="J127" s="23"/>
    </row>
    <row r="128" spans="1:10" x14ac:dyDescent="0.2">
      <c r="A128" s="27"/>
      <c r="B128" s="28" t="s">
        <v>51</v>
      </c>
      <c r="C128" s="28" t="s">
        <v>52</v>
      </c>
      <c r="D128" s="28" t="s">
        <v>53</v>
      </c>
      <c r="E128" s="17"/>
      <c r="F128" s="17"/>
      <c r="G128" s="17"/>
      <c r="H128" s="17"/>
      <c r="I128" s="17"/>
      <c r="J128" s="23"/>
    </row>
    <row r="129" spans="1:10" x14ac:dyDescent="0.2">
      <c r="A129" s="27" t="s">
        <v>54</v>
      </c>
      <c r="B129" s="300">
        <f>IF(Paraiska!B35=Support!A18,ROUND(VLOOKUP(W18, N18:T25, 4, FALSE)*(Paraiska!B10+Paraiska!E10),2)+IF(F13&lt;=1,0,ROUND(IF(Paraiska!B36&lt;D8,0,Paraiska!B36*VLOOKUP(Paraiska!B35,Support!A18:K25,11,0))*(Paraiska!B10+Paraiska!E10),2)),ROUND(VLOOKUP(W18, N18:T25, 5, FALSE)*(Paraiska!B10+Paraiska!E10),2)+IF(F13&lt;=1,0,ROUND(IF(Paraiska!B36&lt;D8,0,Paraiska!B36*VLOOKUP(Paraiska!B35,Support!A18:K25,11,0))*(Paraiska!B10+Paraiska!E10),2)))</f>
        <v>2845.8500000000004</v>
      </c>
      <c r="C129" s="300">
        <f>ROUND(B129*0.21,2)</f>
        <v>597.63</v>
      </c>
      <c r="D129" s="300">
        <f>B129+C129</f>
        <v>3443.4800000000005</v>
      </c>
      <c r="E129" s="17"/>
      <c r="F129" s="17"/>
      <c r="G129" s="17"/>
      <c r="H129" s="17"/>
      <c r="I129" s="17"/>
      <c r="J129" s="23"/>
    </row>
    <row r="130" spans="1:10" x14ac:dyDescent="0.2">
      <c r="A130" s="27" t="s">
        <v>55</v>
      </c>
      <c r="B130" s="300"/>
      <c r="C130" s="300"/>
      <c r="D130" s="300"/>
      <c r="E130" s="17"/>
      <c r="F130" s="17"/>
      <c r="G130" s="17"/>
      <c r="H130" s="17"/>
      <c r="I130" s="17"/>
      <c r="J130" s="23"/>
    </row>
    <row r="131" spans="1:10" x14ac:dyDescent="0.2">
      <c r="A131" s="27" t="s">
        <v>56</v>
      </c>
      <c r="B131" s="300"/>
      <c r="C131" s="300"/>
      <c r="D131" s="300"/>
      <c r="E131" s="17"/>
      <c r="F131" s="17"/>
      <c r="G131" s="17"/>
      <c r="H131" s="17"/>
      <c r="I131" s="17"/>
      <c r="J131" s="23"/>
    </row>
    <row r="132" spans="1:10" x14ac:dyDescent="0.2">
      <c r="A132" s="27" t="s">
        <v>57</v>
      </c>
      <c r="B132" s="300"/>
      <c r="C132" s="300"/>
      <c r="D132" s="300"/>
      <c r="E132" s="17"/>
      <c r="F132" s="17"/>
      <c r="G132" s="17"/>
      <c r="H132" s="17"/>
      <c r="I132" s="17"/>
      <c r="J132" s="23"/>
    </row>
    <row r="133" spans="1:10" x14ac:dyDescent="0.2">
      <c r="A133" s="27" t="s">
        <v>58</v>
      </c>
      <c r="B133" s="300"/>
      <c r="C133" s="300"/>
      <c r="D133" s="300"/>
      <c r="E133" s="17"/>
      <c r="F133" s="17"/>
      <c r="G133" s="17"/>
      <c r="H133" s="17"/>
      <c r="I133" s="17"/>
      <c r="J133" s="23"/>
    </row>
    <row r="134" spans="1:10" x14ac:dyDescent="0.2">
      <c r="A134" s="27" t="s">
        <v>59</v>
      </c>
      <c r="B134" s="16">
        <f>IF(Paraiska!B35=Support!A18,0,ROUND(VLOOKUP(W18, N18:T25, 6, FALSE)*(Paraiska!B10+Paraiska!E10),2))</f>
        <v>111.12</v>
      </c>
      <c r="C134" s="16">
        <f>ROUND(B134*0.21,2)</f>
        <v>23.34</v>
      </c>
      <c r="D134" s="16">
        <f>B134+C134</f>
        <v>134.46</v>
      </c>
      <c r="E134" s="17"/>
      <c r="F134" s="17"/>
      <c r="G134" s="17"/>
      <c r="H134" s="17"/>
      <c r="I134" s="17"/>
      <c r="J134" s="23"/>
    </row>
    <row r="135" spans="1:10" x14ac:dyDescent="0.2">
      <c r="A135" s="27" t="s">
        <v>60</v>
      </c>
      <c r="B135" s="16">
        <f>IF(Paraiska!B35=Support!A18,0,ROUND(VLOOKUP(W18, N18:T25, 7, FALSE)*(Paraiska!B10+Paraiska!E10),2))</f>
        <v>579.42999999999995</v>
      </c>
      <c r="C135" s="16">
        <f>ROUND(B135*0.21,2)</f>
        <v>121.68</v>
      </c>
      <c r="D135" s="16">
        <f>B135+C135</f>
        <v>701.1099999999999</v>
      </c>
      <c r="E135" s="17"/>
      <c r="F135" s="17"/>
      <c r="G135" s="17"/>
      <c r="H135" s="17"/>
      <c r="I135" s="17"/>
      <c r="J135" s="23"/>
    </row>
    <row r="136" spans="1:10" x14ac:dyDescent="0.2">
      <c r="A136" s="27"/>
      <c r="B136" s="16"/>
      <c r="C136" s="16"/>
      <c r="D136" s="16"/>
      <c r="E136" s="17"/>
      <c r="F136" s="17"/>
      <c r="G136" s="17"/>
      <c r="H136" s="17"/>
      <c r="I136" s="17"/>
      <c r="J136" s="23"/>
    </row>
    <row r="137" spans="1:10" x14ac:dyDescent="0.2">
      <c r="A137" s="33" t="s">
        <v>61</v>
      </c>
      <c r="B137" s="47">
        <f>SUM(B129:B135)</f>
        <v>3536.4</v>
      </c>
      <c r="C137" s="47">
        <f>SUM(C129:C135)</f>
        <v>742.65000000000009</v>
      </c>
      <c r="D137" s="47">
        <f>SUM(D129:D135)</f>
        <v>4279.05</v>
      </c>
      <c r="E137" s="17"/>
      <c r="F137" s="17"/>
      <c r="G137" s="17"/>
      <c r="H137" s="17"/>
      <c r="I137" s="17"/>
      <c r="J137" s="23"/>
    </row>
    <row r="138" spans="1:10" x14ac:dyDescent="0.2">
      <c r="A138" s="27"/>
      <c r="B138" s="28"/>
      <c r="C138" s="17"/>
      <c r="D138" s="17"/>
      <c r="E138" s="17"/>
      <c r="F138" s="17"/>
      <c r="G138" s="17"/>
      <c r="H138" s="17"/>
      <c r="I138" s="17"/>
      <c r="J138" s="23"/>
    </row>
    <row r="139" spans="1:10" x14ac:dyDescent="0.2">
      <c r="A139" s="27"/>
      <c r="B139" s="28"/>
      <c r="C139" s="17"/>
      <c r="D139" s="17"/>
      <c r="E139" s="17"/>
      <c r="F139" s="17"/>
      <c r="G139" s="17"/>
      <c r="H139" s="17"/>
      <c r="I139" s="17"/>
      <c r="J139" s="23"/>
    </row>
    <row r="140" spans="1:10" x14ac:dyDescent="0.2">
      <c r="A140" s="38"/>
      <c r="B140" s="39" t="s">
        <v>62</v>
      </c>
      <c r="C140" s="40"/>
      <c r="D140" s="40"/>
      <c r="E140" s="40"/>
      <c r="F140" s="40"/>
      <c r="G140" s="40"/>
      <c r="H140" s="40"/>
      <c r="I140" s="40"/>
      <c r="J140" s="41"/>
    </row>
    <row r="141" spans="1:10" x14ac:dyDescent="0.2">
      <c r="A141" s="17"/>
      <c r="B141" s="17"/>
      <c r="C141" s="17"/>
      <c r="D141" s="17"/>
      <c r="E141" s="17"/>
      <c r="F141" s="17"/>
      <c r="G141" s="17"/>
      <c r="H141" s="17"/>
      <c r="I141" s="17"/>
      <c r="J141" s="23"/>
    </row>
    <row r="142" spans="1:10" x14ac:dyDescent="0.2">
      <c r="A142" s="27" t="s">
        <v>49</v>
      </c>
      <c r="B142" s="17"/>
      <c r="C142" s="17"/>
      <c r="D142" s="17"/>
      <c r="E142" s="17"/>
      <c r="F142" s="17"/>
      <c r="G142" s="17"/>
      <c r="H142" s="17"/>
      <c r="I142" s="17"/>
      <c r="J142" s="23"/>
    </row>
    <row r="143" spans="1:10" x14ac:dyDescent="0.2">
      <c r="A143" s="27"/>
      <c r="B143" s="17"/>
      <c r="C143" s="17"/>
      <c r="D143" s="17"/>
      <c r="E143" s="17"/>
      <c r="F143" s="17"/>
      <c r="G143" s="17"/>
      <c r="H143" s="17"/>
      <c r="I143" s="17"/>
      <c r="J143" s="23"/>
    </row>
    <row r="144" spans="1:10" x14ac:dyDescent="0.2">
      <c r="A144" s="42" t="s">
        <v>50</v>
      </c>
      <c r="B144" s="43" t="s">
        <v>51</v>
      </c>
      <c r="C144" s="42" t="s">
        <v>52</v>
      </c>
      <c r="D144" s="42" t="s">
        <v>53</v>
      </c>
      <c r="E144" s="17"/>
      <c r="F144" s="17"/>
      <c r="G144" s="17"/>
      <c r="H144" s="17"/>
      <c r="I144" s="17"/>
      <c r="J144" s="23"/>
    </row>
    <row r="145" spans="1:10" x14ac:dyDescent="0.2">
      <c r="A145" s="44"/>
      <c r="B145" s="45">
        <f>IF(OR(Paraiska!B11="PVM moketojas",Paraiska!B11="PVM moketojas - PVM neapmokestinama veikla (ne rangos darbai)")=TRUE,Paraiska!B10+B157,Paraiska!B10+D157)</f>
        <v>10536.4</v>
      </c>
      <c r="C145" s="45">
        <f>IF(OR(Paraiska!B11="PVM moketojas",Paraiska!B11="PVM moketojas - PVM neapmokestinama veikla (ne rangos darbai)")=TRUE,B145*0.21,0)</f>
        <v>2212.6439999999998</v>
      </c>
      <c r="D145" s="45">
        <f>SUM(B145,C145)</f>
        <v>12749.044</v>
      </c>
      <c r="E145" s="17"/>
      <c r="F145" s="17"/>
      <c r="G145" s="17"/>
      <c r="H145" s="17"/>
      <c r="I145" s="17"/>
      <c r="J145" s="23"/>
    </row>
    <row r="146" spans="1:10" x14ac:dyDescent="0.2">
      <c r="A146" s="17"/>
      <c r="B146" s="17"/>
      <c r="C146" s="17"/>
      <c r="D146" s="17"/>
      <c r="E146" s="17"/>
      <c r="F146" s="17"/>
      <c r="G146" s="17"/>
      <c r="H146" s="17"/>
      <c r="I146" s="17"/>
      <c r="J146" s="23"/>
    </row>
    <row r="147" spans="1:10" x14ac:dyDescent="0.2">
      <c r="A147" s="17"/>
      <c r="B147" s="17"/>
      <c r="C147" s="17"/>
      <c r="D147" s="17"/>
      <c r="E147" s="17"/>
      <c r="F147" s="17"/>
      <c r="G147" s="17"/>
      <c r="H147" s="17"/>
      <c r="I147" s="17"/>
      <c r="J147" s="23"/>
    </row>
    <row r="148" spans="1:10" x14ac:dyDescent="0.2">
      <c r="A148" s="27"/>
      <c r="B148" s="28" t="s">
        <v>51</v>
      </c>
      <c r="C148" s="28" t="s">
        <v>52</v>
      </c>
      <c r="D148" s="28" t="s">
        <v>53</v>
      </c>
      <c r="E148" s="17"/>
      <c r="F148" s="17"/>
      <c r="G148" s="17"/>
      <c r="H148" s="17"/>
      <c r="I148" s="17"/>
      <c r="J148" s="23"/>
    </row>
    <row r="149" spans="1:10" x14ac:dyDescent="0.2">
      <c r="A149" s="27" t="s">
        <v>54</v>
      </c>
      <c r="B149" s="300">
        <f>IFERROR(B129/SUM(Paraiska!B10:G10)*Paraiska!B10,0)</f>
        <v>2845.8500000000004</v>
      </c>
      <c r="C149" s="300">
        <f>ROUND(B149*0.21,2)</f>
        <v>597.63</v>
      </c>
      <c r="D149" s="300">
        <f>B149+C149</f>
        <v>3443.4800000000005</v>
      </c>
      <c r="E149" s="17"/>
      <c r="F149" s="17"/>
      <c r="G149" s="17"/>
      <c r="H149" s="17"/>
      <c r="I149" s="17"/>
      <c r="J149" s="23"/>
    </row>
    <row r="150" spans="1:10" x14ac:dyDescent="0.2">
      <c r="A150" s="27" t="s">
        <v>55</v>
      </c>
      <c r="B150" s="300"/>
      <c r="C150" s="300"/>
      <c r="D150" s="300"/>
      <c r="E150" s="17"/>
      <c r="F150" s="46"/>
      <c r="G150" s="46"/>
      <c r="H150" s="17"/>
      <c r="I150" s="17"/>
      <c r="J150" s="23"/>
    </row>
    <row r="151" spans="1:10" x14ac:dyDescent="0.2">
      <c r="A151" s="27" t="s">
        <v>56</v>
      </c>
      <c r="B151" s="300"/>
      <c r="C151" s="300"/>
      <c r="D151" s="300"/>
      <c r="E151" s="36"/>
      <c r="F151" s="17"/>
      <c r="G151" s="17"/>
      <c r="H151" s="17"/>
      <c r="I151" s="17"/>
      <c r="J151" s="23"/>
    </row>
    <row r="152" spans="1:10" x14ac:dyDescent="0.2">
      <c r="A152" s="27" t="s">
        <v>57</v>
      </c>
      <c r="B152" s="300"/>
      <c r="C152" s="300"/>
      <c r="D152" s="300"/>
      <c r="E152" s="17"/>
      <c r="F152" s="17"/>
      <c r="G152" s="17"/>
      <c r="H152" s="17"/>
      <c r="I152" s="17"/>
      <c r="J152" s="23"/>
    </row>
    <row r="153" spans="1:10" x14ac:dyDescent="0.2">
      <c r="A153" s="27" t="s">
        <v>58</v>
      </c>
      <c r="B153" s="300"/>
      <c r="C153" s="300"/>
      <c r="D153" s="300"/>
      <c r="E153" s="17"/>
      <c r="F153" s="17"/>
      <c r="G153" s="17"/>
      <c r="H153" s="17"/>
      <c r="I153" s="17"/>
      <c r="J153" s="23"/>
    </row>
    <row r="154" spans="1:10" x14ac:dyDescent="0.2">
      <c r="A154" s="27" t="s">
        <v>59</v>
      </c>
      <c r="B154" s="16">
        <f>IFERROR(B134/SUM(Paraiska!B10:G10)*Paraiska!B10,0)</f>
        <v>111.12</v>
      </c>
      <c r="C154" s="16">
        <f>ROUND(B154*0.21,2)</f>
        <v>23.34</v>
      </c>
      <c r="D154" s="16">
        <f>B154+C154</f>
        <v>134.46</v>
      </c>
      <c r="E154" s="17"/>
      <c r="F154" s="17"/>
      <c r="G154" s="17"/>
      <c r="H154" s="17"/>
      <c r="I154" s="17"/>
      <c r="J154" s="23"/>
    </row>
    <row r="155" spans="1:10" x14ac:dyDescent="0.2">
      <c r="A155" s="27" t="s">
        <v>60</v>
      </c>
      <c r="B155" s="16">
        <f>IFERROR(B135/SUM(Paraiska!B10:G10)*Paraiska!B10,0)</f>
        <v>579.42999999999995</v>
      </c>
      <c r="C155" s="16">
        <f>ROUND(B155*0.21,2)</f>
        <v>121.68</v>
      </c>
      <c r="D155" s="16">
        <f>B155+C155</f>
        <v>701.1099999999999</v>
      </c>
      <c r="E155" s="17"/>
      <c r="F155" s="17"/>
      <c r="G155" s="17"/>
      <c r="H155" s="17"/>
      <c r="I155" s="17"/>
      <c r="J155" s="23"/>
    </row>
    <row r="156" spans="1:10" x14ac:dyDescent="0.2">
      <c r="A156" s="27"/>
      <c r="B156" s="16"/>
      <c r="C156" s="16"/>
      <c r="D156" s="16"/>
      <c r="E156" s="17"/>
      <c r="F156" s="17"/>
      <c r="G156" s="17"/>
      <c r="H156" s="17"/>
      <c r="I156" s="17"/>
      <c r="J156" s="23"/>
    </row>
    <row r="157" spans="1:10" x14ac:dyDescent="0.2">
      <c r="A157" s="33" t="s">
        <v>61</v>
      </c>
      <c r="B157" s="47">
        <f>SUM(B149:B155)</f>
        <v>3536.4</v>
      </c>
      <c r="C157" s="47">
        <f>SUM(C149:C155)</f>
        <v>742.65000000000009</v>
      </c>
      <c r="D157" s="47">
        <f>SUM(D149:D155)</f>
        <v>4279.05</v>
      </c>
      <c r="E157" s="17"/>
      <c r="F157" s="17"/>
      <c r="G157" s="17"/>
      <c r="H157" s="17"/>
      <c r="I157" s="17"/>
      <c r="J157" s="23"/>
    </row>
    <row r="158" spans="1:10" x14ac:dyDescent="0.2">
      <c r="A158" s="17"/>
      <c r="B158" s="17"/>
      <c r="C158" s="17"/>
      <c r="D158" s="17"/>
      <c r="E158" s="17"/>
      <c r="F158" s="17"/>
      <c r="G158" s="17"/>
      <c r="H158" s="17"/>
      <c r="I158" s="17"/>
      <c r="J158" s="23"/>
    </row>
    <row r="159" spans="1:10" x14ac:dyDescent="0.2">
      <c r="A159" s="17"/>
      <c r="B159" s="17"/>
      <c r="C159" s="17"/>
      <c r="D159" s="17"/>
      <c r="E159" s="17"/>
      <c r="F159" s="17"/>
      <c r="G159" s="17"/>
      <c r="H159" s="17"/>
      <c r="I159" s="17"/>
      <c r="J159" s="23"/>
    </row>
    <row r="160" spans="1:10" x14ac:dyDescent="0.2">
      <c r="A160" s="38"/>
      <c r="B160" s="39" t="s">
        <v>63</v>
      </c>
      <c r="C160" s="40"/>
      <c r="D160" s="40"/>
      <c r="E160" s="40"/>
      <c r="F160" s="40"/>
      <c r="G160" s="40"/>
      <c r="H160" s="40"/>
      <c r="I160" s="40"/>
      <c r="J160" s="41"/>
    </row>
    <row r="161" spans="1:10" x14ac:dyDescent="0.2">
      <c r="A161" s="17"/>
      <c r="B161" s="17"/>
      <c r="C161" s="17"/>
      <c r="D161" s="17"/>
      <c r="E161" s="17"/>
      <c r="F161" s="17"/>
      <c r="G161" s="17"/>
      <c r="H161" s="17"/>
      <c r="I161" s="17"/>
      <c r="J161" s="23"/>
    </row>
    <row r="162" spans="1:10" x14ac:dyDescent="0.2">
      <c r="A162" s="17" t="s">
        <v>49</v>
      </c>
      <c r="B162" s="17"/>
      <c r="C162" s="17"/>
      <c r="D162" s="17"/>
      <c r="E162" s="17"/>
      <c r="F162" s="17"/>
      <c r="G162" s="17"/>
      <c r="H162" s="17"/>
      <c r="I162" s="17"/>
      <c r="J162" s="23"/>
    </row>
    <row r="163" spans="1:10" x14ac:dyDescent="0.2">
      <c r="A163" s="48"/>
      <c r="B163" s="17"/>
      <c r="C163" s="17"/>
      <c r="D163" s="17"/>
      <c r="E163" s="36"/>
      <c r="F163" s="36"/>
      <c r="G163" s="36"/>
      <c r="H163" s="17"/>
      <c r="I163" s="17"/>
      <c r="J163" s="23"/>
    </row>
    <row r="164" spans="1:10" x14ac:dyDescent="0.2">
      <c r="A164" s="42" t="s">
        <v>50</v>
      </c>
      <c r="B164" s="43" t="s">
        <v>51</v>
      </c>
      <c r="C164" s="42" t="s">
        <v>52</v>
      </c>
      <c r="D164" s="42" t="s">
        <v>53</v>
      </c>
      <c r="E164" s="17"/>
      <c r="F164" s="17"/>
      <c r="G164" s="17"/>
      <c r="H164" s="17"/>
      <c r="I164" s="17"/>
      <c r="J164" s="23"/>
    </row>
    <row r="165" spans="1:10" x14ac:dyDescent="0.2">
      <c r="A165" s="44"/>
      <c r="B165" s="45">
        <f>IF(OR(Paraiska!B11="PVM moketojas",Paraiska!B11="PVM moketojas - PVM neapmokestinama veikla (ne rangos darbai)")=TRUE,Paraiska!E10+B178,Paraiska!E10+D178)</f>
        <v>0</v>
      </c>
      <c r="C165" s="45">
        <f>IF(OR(Paraiska!B11="PVM moketojas",Paraiska!B11="PVM moketojas - PVM neapmokestinama veikla (ne rangos darbai)")=TRUE,B165*0.21,0)</f>
        <v>0</v>
      </c>
      <c r="D165" s="45">
        <f>SUM(B165,C165)</f>
        <v>0</v>
      </c>
      <c r="E165" s="28"/>
      <c r="F165" s="17"/>
      <c r="G165" s="28"/>
      <c r="H165" s="28"/>
      <c r="I165" s="28"/>
      <c r="J165" s="23"/>
    </row>
    <row r="166" spans="1:10" x14ac:dyDescent="0.2">
      <c r="A166" s="17"/>
      <c r="B166" s="17"/>
      <c r="C166" s="17"/>
      <c r="D166" s="17"/>
      <c r="E166" s="36"/>
      <c r="F166" s="36"/>
      <c r="G166" s="36"/>
      <c r="H166" s="49"/>
      <c r="I166" s="28"/>
      <c r="J166" s="23"/>
    </row>
    <row r="167" spans="1:10" x14ac:dyDescent="0.2">
      <c r="A167" s="17"/>
      <c r="B167" s="17"/>
      <c r="C167" s="17"/>
      <c r="D167" s="17"/>
      <c r="E167" s="17"/>
      <c r="F167" s="17"/>
      <c r="G167" s="17"/>
      <c r="H167" s="28"/>
      <c r="I167" s="28"/>
      <c r="J167" s="23"/>
    </row>
    <row r="168" spans="1:10" x14ac:dyDescent="0.2">
      <c r="A168" s="17"/>
      <c r="B168" s="17"/>
      <c r="C168" s="17"/>
      <c r="D168" s="17"/>
      <c r="E168" s="17"/>
      <c r="F168" s="17"/>
      <c r="G168" s="17"/>
      <c r="H168" s="28"/>
      <c r="I168" s="28"/>
      <c r="J168" s="23"/>
    </row>
    <row r="169" spans="1:10" x14ac:dyDescent="0.2">
      <c r="A169" s="17"/>
      <c r="B169" s="28" t="s">
        <v>51</v>
      </c>
      <c r="C169" s="28" t="s">
        <v>52</v>
      </c>
      <c r="D169" s="28" t="s">
        <v>53</v>
      </c>
      <c r="E169" s="17"/>
      <c r="F169" s="17"/>
      <c r="G169" s="17"/>
      <c r="H169" s="28"/>
      <c r="I169" s="28"/>
      <c r="J169" s="23"/>
    </row>
    <row r="170" spans="1:10" x14ac:dyDescent="0.2">
      <c r="A170" s="17" t="s">
        <v>54</v>
      </c>
      <c r="B170" s="300">
        <f>B129-B149</f>
        <v>0</v>
      </c>
      <c r="C170" s="300">
        <f>C129-C149</f>
        <v>0</v>
      </c>
      <c r="D170" s="300">
        <f>B170+C170</f>
        <v>0</v>
      </c>
      <c r="E170" s="17"/>
      <c r="F170" s="17"/>
      <c r="G170" s="17"/>
      <c r="H170" s="28"/>
      <c r="I170" s="28"/>
      <c r="J170" s="23"/>
    </row>
    <row r="171" spans="1:10" x14ac:dyDescent="0.2">
      <c r="A171" s="17" t="s">
        <v>55</v>
      </c>
      <c r="B171" s="300"/>
      <c r="C171" s="300"/>
      <c r="D171" s="300">
        <f t="shared" ref="D171:D174" si="1">B171+C171</f>
        <v>0</v>
      </c>
      <c r="E171" s="17"/>
      <c r="F171" s="17"/>
      <c r="G171" s="17"/>
      <c r="H171" s="28"/>
      <c r="I171" s="28"/>
      <c r="J171" s="23"/>
    </row>
    <row r="172" spans="1:10" x14ac:dyDescent="0.2">
      <c r="A172" s="17" t="s">
        <v>56</v>
      </c>
      <c r="B172" s="300"/>
      <c r="C172" s="300"/>
      <c r="D172" s="300">
        <f t="shared" si="1"/>
        <v>0</v>
      </c>
      <c r="E172" s="36"/>
      <c r="F172" s="17"/>
      <c r="G172" s="17"/>
      <c r="H172" s="28"/>
      <c r="I172" s="28"/>
      <c r="J172" s="23"/>
    </row>
    <row r="173" spans="1:10" x14ac:dyDescent="0.2">
      <c r="A173" s="17" t="s">
        <v>57</v>
      </c>
      <c r="B173" s="300"/>
      <c r="C173" s="300"/>
      <c r="D173" s="300">
        <f t="shared" si="1"/>
        <v>0</v>
      </c>
      <c r="E173" s="17"/>
      <c r="F173" s="17"/>
      <c r="G173" s="17"/>
      <c r="H173" s="28"/>
      <c r="I173" s="28"/>
      <c r="J173" s="23"/>
    </row>
    <row r="174" spans="1:10" x14ac:dyDescent="0.2">
      <c r="A174" s="17" t="s">
        <v>58</v>
      </c>
      <c r="B174" s="300"/>
      <c r="C174" s="300"/>
      <c r="D174" s="300">
        <f t="shared" si="1"/>
        <v>0</v>
      </c>
      <c r="E174" s="17"/>
      <c r="F174" s="17"/>
      <c r="G174" s="17"/>
      <c r="H174" s="28"/>
      <c r="I174" s="28"/>
      <c r="J174" s="23"/>
    </row>
    <row r="175" spans="1:10" x14ac:dyDescent="0.2">
      <c r="A175" s="17" t="s">
        <v>59</v>
      </c>
      <c r="B175" s="16">
        <f>B134-B154</f>
        <v>0</v>
      </c>
      <c r="C175" s="16">
        <f>C134-C154</f>
        <v>0</v>
      </c>
      <c r="D175" s="16">
        <f>B175+C175</f>
        <v>0</v>
      </c>
      <c r="E175" s="17"/>
      <c r="F175" s="17"/>
      <c r="G175" s="17"/>
      <c r="H175" s="28"/>
      <c r="I175" s="28"/>
      <c r="J175" s="23"/>
    </row>
    <row r="176" spans="1:10" x14ac:dyDescent="0.2">
      <c r="A176" s="17" t="s">
        <v>60</v>
      </c>
      <c r="B176" s="16">
        <f>B135-B155</f>
        <v>0</v>
      </c>
      <c r="C176" s="16">
        <f>C135-C155</f>
        <v>0</v>
      </c>
      <c r="D176" s="16">
        <f>B176+C176</f>
        <v>0</v>
      </c>
      <c r="E176" s="17"/>
      <c r="F176" s="17"/>
      <c r="G176" s="17"/>
      <c r="H176" s="28"/>
      <c r="I176" s="28"/>
      <c r="J176" s="23"/>
    </row>
    <row r="177" spans="1:10" x14ac:dyDescent="0.2">
      <c r="A177" s="27"/>
      <c r="B177" s="16"/>
      <c r="C177" s="16"/>
      <c r="D177" s="16"/>
      <c r="E177" s="17"/>
      <c r="F177" s="17"/>
      <c r="G177" s="17"/>
      <c r="H177" s="28"/>
      <c r="I177" s="28"/>
      <c r="J177" s="23"/>
    </row>
    <row r="178" spans="1:10" x14ac:dyDescent="0.2">
      <c r="A178" s="28" t="s">
        <v>61</v>
      </c>
      <c r="B178" s="47">
        <f>SUM(B170:B176)</f>
        <v>0</v>
      </c>
      <c r="C178" s="47">
        <f>SUM(C170:C176)</f>
        <v>0</v>
      </c>
      <c r="D178" s="47">
        <f>SUM(D170:D176)</f>
        <v>0</v>
      </c>
      <c r="E178" s="17"/>
      <c r="F178" s="17"/>
      <c r="G178" s="17"/>
      <c r="H178" s="28"/>
      <c r="I178" s="28"/>
      <c r="J178" s="23"/>
    </row>
    <row r="179" spans="1:10" x14ac:dyDescent="0.2">
      <c r="A179" s="17"/>
      <c r="B179" s="17"/>
      <c r="C179" s="17"/>
      <c r="D179" s="17"/>
      <c r="E179" s="17"/>
      <c r="F179" s="17"/>
      <c r="G179" s="17"/>
      <c r="H179" s="28"/>
      <c r="I179" s="28"/>
      <c r="J179" s="23"/>
    </row>
    <row r="180" spans="1:10" x14ac:dyDescent="0.2">
      <c r="A180" s="131"/>
      <c r="B180" s="131"/>
      <c r="C180" s="131"/>
      <c r="D180" s="131"/>
      <c r="E180" s="131"/>
      <c r="F180" s="131"/>
      <c r="G180" s="131"/>
      <c r="H180" s="157"/>
      <c r="I180" s="157"/>
      <c r="J180" s="158"/>
    </row>
    <row r="181" spans="1:10" x14ac:dyDescent="0.2">
      <c r="A181" s="104" t="s">
        <v>81</v>
      </c>
      <c r="B181" s="305" t="str">
        <f>IFERROR(IF(ROUND((IF(OR(Paraiska!$B$11="PVM moketojas",Paraiska!$B$11="PVM moketojas - PVM neapmokestinama veikla (ne rangos darbai)"),Paraiska!$B$10*1.21+Paraiska!$E$10*1.21,Paraiska!$B$10+Paraiska!$E$10)*VLOOKUP(Paraiska!$B$11,Support!$H$3:'Support'!$I$6,2,0)-Paraiska!$B$31-Paraiska!$B$32)/Paraiska!$B$28,2)&gt;=Paraiska!$B$33,"TAIP","NE"),"NE")</f>
        <v>TAIP</v>
      </c>
      <c r="C181" s="305"/>
      <c r="D181" s="305"/>
      <c r="E181" s="159"/>
      <c r="F181" s="159"/>
      <c r="G181" s="159"/>
      <c r="H181" s="157"/>
      <c r="I181" s="157"/>
      <c r="J181" s="158"/>
    </row>
    <row r="182" spans="1:10" x14ac:dyDescent="0.2">
      <c r="A182" s="131"/>
      <c r="B182" s="131"/>
      <c r="C182" s="131"/>
      <c r="D182" s="131"/>
      <c r="E182" s="131"/>
      <c r="F182" s="131"/>
      <c r="G182" s="131"/>
      <c r="H182" s="157"/>
      <c r="I182" s="157"/>
      <c r="J182" s="158"/>
    </row>
    <row r="183" spans="1:10" x14ac:dyDescent="0.2">
      <c r="A183" s="134"/>
      <c r="J183" s="135"/>
    </row>
    <row r="184" spans="1:10" x14ac:dyDescent="0.2">
      <c r="A184" s="134"/>
      <c r="J184" s="135"/>
    </row>
    <row r="185" spans="1:10" x14ac:dyDescent="0.2">
      <c r="A185" s="136"/>
      <c r="B185" s="302" t="s">
        <v>82</v>
      </c>
      <c r="C185" s="302"/>
      <c r="D185" s="302"/>
      <c r="E185" s="302"/>
      <c r="F185" s="302"/>
      <c r="G185" s="302"/>
      <c r="J185" s="135"/>
    </row>
    <row r="186" spans="1:10" ht="12" thickBot="1" x14ac:dyDescent="0.25">
      <c r="A186" s="134"/>
      <c r="J186" s="135"/>
    </row>
    <row r="187" spans="1:10" x14ac:dyDescent="0.2">
      <c r="A187" s="137"/>
      <c r="B187" s="303" t="s">
        <v>83</v>
      </c>
      <c r="C187" s="303"/>
      <c r="D187" s="303"/>
      <c r="E187" s="303"/>
      <c r="F187" s="303"/>
      <c r="G187" s="304"/>
      <c r="J187" s="135"/>
    </row>
    <row r="188" spans="1:10" x14ac:dyDescent="0.2">
      <c r="A188" s="83" t="s">
        <v>84</v>
      </c>
      <c r="B188" s="306">
        <f>IF(Paraiska!B47="FORMOJE YRA KLAIDŲ, PRAŠOME PATIKRINTI ĮVESTAS REIKŠMES",0,IF(OR(Paraiska!B11="PVM moketojas",Paraiska!B11="PVM moketojas - PVM neapmokestinama veikla (ne rangos darbai)")=TRUE,Paraiska!B10+Support!B157+Support!B200,Paraiska!B10+Support!D157+Support!B202))</f>
        <v>13015.86</v>
      </c>
      <c r="C188" s="306"/>
      <c r="D188" s="306"/>
      <c r="E188" s="306">
        <f>IF(Paraiska!B47="FORMOJE YRA KLAIDŲ, PRAŠOME PATIKRINTI ĮVESTAS REIKŠMES",0,IF(OR(Paraiska!B11="PVM moketojas",Paraiska!B11="PVM moketojas - PVM neapmokestinama veikla (ne rangos darbai)")=TRUE,Paraiska!E10+Support!B178+Support!E200,Paraiska!E10+Support!D178+Support!E202))</f>
        <v>0</v>
      </c>
      <c r="F188" s="306"/>
      <c r="G188" s="307"/>
      <c r="J188" s="135"/>
    </row>
    <row r="189" spans="1:10" ht="12" thickBot="1" x14ac:dyDescent="0.25">
      <c r="A189" s="138" t="s">
        <v>52</v>
      </c>
      <c r="B189" s="308">
        <f>ROUND(IF(Paraiska!B11="PVM moketojas",Support!B188*0.21,0),2)</f>
        <v>2733.33</v>
      </c>
      <c r="C189" s="308"/>
      <c r="D189" s="308"/>
      <c r="E189" s="308">
        <f>ROUND(IF(Paraiska!B11="PVM moketojas",Support!E188*0.21,0),2)</f>
        <v>0</v>
      </c>
      <c r="F189" s="308"/>
      <c r="G189" s="309"/>
      <c r="J189" s="135"/>
    </row>
    <row r="190" spans="1:10" ht="12" thickBot="1" x14ac:dyDescent="0.25">
      <c r="A190" s="139" t="s">
        <v>53</v>
      </c>
      <c r="B190" s="310">
        <f>SUM(Support!B188,Support!B189)</f>
        <v>15749.19</v>
      </c>
      <c r="C190" s="310"/>
      <c r="D190" s="310"/>
      <c r="E190" s="310">
        <f>SUM(Support!E188,Support!E189)</f>
        <v>0</v>
      </c>
      <c r="F190" s="310"/>
      <c r="G190" s="311"/>
      <c r="J190" s="135"/>
    </row>
    <row r="191" spans="1:10" x14ac:dyDescent="0.2">
      <c r="A191" s="134"/>
      <c r="B191" s="140"/>
      <c r="J191" s="135"/>
    </row>
    <row r="192" spans="1:10" ht="12" thickBot="1" x14ac:dyDescent="0.25">
      <c r="A192" s="134"/>
      <c r="J192" s="135"/>
    </row>
    <row r="193" spans="1:10" x14ac:dyDescent="0.2">
      <c r="A193" s="137"/>
      <c r="B193" s="303" t="s">
        <v>85</v>
      </c>
      <c r="C193" s="303"/>
      <c r="D193" s="303"/>
      <c r="E193" s="303"/>
      <c r="F193" s="303"/>
      <c r="G193" s="304"/>
      <c r="J193" s="135"/>
    </row>
    <row r="194" spans="1:10" x14ac:dyDescent="0.2">
      <c r="A194" s="141" t="s">
        <v>84</v>
      </c>
      <c r="B194" s="306">
        <f>IF(Paraiska!B47="FORMOJE YRA KLAIDŲ, PRAŠOME PATIKRINTI ĮVESTAS REIKŠMES",0,Support!B157)</f>
        <v>3536.4</v>
      </c>
      <c r="C194" s="306"/>
      <c r="D194" s="306"/>
      <c r="E194" s="306">
        <f>IF(Paraiska!B47="FORMOJE YRA KLAIDŲ, PRAŠOME PATIKRINTI ĮVESTAS REIKŠMES",0,Support!B178)</f>
        <v>0</v>
      </c>
      <c r="F194" s="306"/>
      <c r="G194" s="307"/>
      <c r="J194" s="135"/>
    </row>
    <row r="195" spans="1:10" ht="12" thickBot="1" x14ac:dyDescent="0.25">
      <c r="A195" s="142" t="s">
        <v>52</v>
      </c>
      <c r="B195" s="308">
        <f>IF(Paraiska!B47="FORMOJE YRA KLAIDŲ, PRAŠOME PATIKRINTI ĮVESTAS REIKŠMES",0,Support!C157)</f>
        <v>742.65000000000009</v>
      </c>
      <c r="C195" s="308"/>
      <c r="D195" s="308"/>
      <c r="E195" s="308">
        <f>IF(Paraiska!B47="FORMOJE YRA KLAIDŲ, PRAŠOME PATIKRINTI ĮVESTAS REIKŠMES",0,Support!C178)</f>
        <v>0</v>
      </c>
      <c r="F195" s="308"/>
      <c r="G195" s="309"/>
      <c r="J195" s="135"/>
    </row>
    <row r="196" spans="1:10" ht="12" thickBot="1" x14ac:dyDescent="0.25">
      <c r="A196" s="143" t="s">
        <v>53</v>
      </c>
      <c r="B196" s="310">
        <f>SUM(Support!B194:'Support'!B195)</f>
        <v>4279.05</v>
      </c>
      <c r="C196" s="310"/>
      <c r="D196" s="310"/>
      <c r="E196" s="310">
        <f>SUM(Support!E194,Support!E195)</f>
        <v>0</v>
      </c>
      <c r="F196" s="310"/>
      <c r="G196" s="311"/>
      <c r="J196" s="135"/>
    </row>
    <row r="197" spans="1:10" x14ac:dyDescent="0.2">
      <c r="A197" s="134"/>
      <c r="J197" s="135"/>
    </row>
    <row r="198" spans="1:10" ht="12" thickBot="1" x14ac:dyDescent="0.25">
      <c r="A198" s="134"/>
      <c r="J198" s="135"/>
    </row>
    <row r="199" spans="1:10" x14ac:dyDescent="0.2">
      <c r="A199" s="144"/>
      <c r="B199" s="303" t="s">
        <v>86</v>
      </c>
      <c r="C199" s="303"/>
      <c r="D199" s="303"/>
      <c r="E199" s="303"/>
      <c r="F199" s="303"/>
      <c r="G199" s="304"/>
      <c r="J199" s="135"/>
    </row>
    <row r="200" spans="1:10" x14ac:dyDescent="0.2">
      <c r="A200" s="141" t="s">
        <v>84</v>
      </c>
      <c r="B200" s="312">
        <f>IFERROR(ROUND((Support!D145-(((Paraiska!B31+Paraiska!B32)/SUM(Paraiska!B10:'Paraiska'!G10))*Paraiska!B10))*Paraiska!B37,2),0)</f>
        <v>2479.46</v>
      </c>
      <c r="C200" s="313"/>
      <c r="D200" s="314"/>
      <c r="E200" s="313">
        <f>IF(Paraiska!E10=0,0,ROUND(((Support!D145+Support!D165)-Paraiska!B31-Paraiska!B32)*Paraiska!B37,2)-Support!B200)</f>
        <v>0</v>
      </c>
      <c r="F200" s="313"/>
      <c r="G200" s="315"/>
      <c r="J200" s="135"/>
    </row>
    <row r="201" spans="1:10" ht="12" thickBot="1" x14ac:dyDescent="0.25">
      <c r="A201" s="142" t="s">
        <v>52</v>
      </c>
      <c r="B201" s="316">
        <f>ROUND(Support!B200*0.21,2)</f>
        <v>520.69000000000005</v>
      </c>
      <c r="C201" s="317"/>
      <c r="D201" s="318"/>
      <c r="E201" s="317">
        <f>IF(Paraiska!E10=0,0,ROUND((Support!D145+Support!D165-Paraiska!B31-Paraiska!B32)*Paraiska!B37*0.21,2)-Support!B201)</f>
        <v>0</v>
      </c>
      <c r="F201" s="317"/>
      <c r="G201" s="319"/>
      <c r="J201" s="135"/>
    </row>
    <row r="202" spans="1:10" ht="12" thickBot="1" x14ac:dyDescent="0.25">
      <c r="A202" s="143" t="s">
        <v>87</v>
      </c>
      <c r="B202" s="320">
        <f>SUM(Support!B200,Support!B201)</f>
        <v>3000.15</v>
      </c>
      <c r="C202" s="321"/>
      <c r="D202" s="322"/>
      <c r="E202" s="321">
        <f>SUM(Support!E200,Support!E201)</f>
        <v>0</v>
      </c>
      <c r="F202" s="321"/>
      <c r="G202" s="323"/>
      <c r="J202" s="135"/>
    </row>
    <row r="203" spans="1:10" x14ac:dyDescent="0.2">
      <c r="A203" s="134"/>
      <c r="J203" s="135"/>
    </row>
    <row r="204" spans="1:10" ht="12" thickBot="1" x14ac:dyDescent="0.25">
      <c r="A204" s="134"/>
      <c r="J204" s="135"/>
    </row>
    <row r="205" spans="1:10" x14ac:dyDescent="0.2">
      <c r="A205" s="137"/>
      <c r="B205" s="303" t="s">
        <v>88</v>
      </c>
      <c r="C205" s="303"/>
      <c r="D205" s="303"/>
      <c r="E205" s="303"/>
      <c r="F205" s="303"/>
      <c r="G205" s="304"/>
      <c r="J205" s="135"/>
    </row>
    <row r="206" spans="1:10" x14ac:dyDescent="0.2">
      <c r="A206" s="141" t="s">
        <v>84</v>
      </c>
      <c r="B206" s="306">
        <f>Support!B188</f>
        <v>13015.86</v>
      </c>
      <c r="C206" s="306"/>
      <c r="D206" s="306"/>
      <c r="E206" s="306">
        <f>Support!E188</f>
        <v>0</v>
      </c>
      <c r="F206" s="306"/>
      <c r="G206" s="307"/>
      <c r="J206" s="135"/>
    </row>
    <row r="207" spans="1:10" ht="12" thickBot="1" x14ac:dyDescent="0.25">
      <c r="A207" s="142" t="s">
        <v>52</v>
      </c>
      <c r="B207" s="308">
        <f>ROUND(IF(Paraiska!B11="Ne PVM moketojas - rangos darbai",0,Support!B188*0.21),2)</f>
        <v>2733.33</v>
      </c>
      <c r="C207" s="308"/>
      <c r="D207" s="308"/>
      <c r="E207" s="308">
        <f>ROUND(IF(Paraiska!B11="Ne PVM moketojas - rangos darbai",0,Support!E188*0.21),2)</f>
        <v>0</v>
      </c>
      <c r="F207" s="308"/>
      <c r="G207" s="309"/>
      <c r="J207" s="135"/>
    </row>
    <row r="208" spans="1:10" ht="12" thickBot="1" x14ac:dyDescent="0.25">
      <c r="A208" s="143" t="s">
        <v>53</v>
      </c>
      <c r="B208" s="310">
        <f>SUM(Support!B206,Support!B207)</f>
        <v>15749.19</v>
      </c>
      <c r="C208" s="310"/>
      <c r="D208" s="310"/>
      <c r="E208" s="310">
        <f>SUM(Support!E206,Support!E207)</f>
        <v>0</v>
      </c>
      <c r="F208" s="310"/>
      <c r="G208" s="311"/>
      <c r="J208" s="135"/>
    </row>
    <row r="209" spans="1:10" x14ac:dyDescent="0.2">
      <c r="A209" s="134"/>
      <c r="J209" s="135"/>
    </row>
    <row r="210" spans="1:10" x14ac:dyDescent="0.2">
      <c r="A210" s="134"/>
      <c r="J210" s="135"/>
    </row>
    <row r="211" spans="1:10" x14ac:dyDescent="0.2">
      <c r="A211" s="134"/>
      <c r="J211" s="135"/>
    </row>
    <row r="212" spans="1:10" x14ac:dyDescent="0.2">
      <c r="A212" s="134"/>
      <c r="J212" s="135"/>
    </row>
    <row r="213" spans="1:10" x14ac:dyDescent="0.2">
      <c r="A213" s="134"/>
      <c r="J213" s="135"/>
    </row>
    <row r="214" spans="1:10" ht="12" thickBot="1" x14ac:dyDescent="0.25">
      <c r="A214" s="145" t="s">
        <v>89</v>
      </c>
      <c r="J214" s="135"/>
    </row>
    <row r="215" spans="1:10" ht="33.75" x14ac:dyDescent="0.2">
      <c r="A215" s="146" t="s">
        <v>90</v>
      </c>
      <c r="B215" s="76" t="s">
        <v>51</v>
      </c>
      <c r="C215" s="77" t="s">
        <v>52</v>
      </c>
      <c r="D215" s="78" t="s">
        <v>53</v>
      </c>
      <c r="J215" s="135"/>
    </row>
    <row r="216" spans="1:10" x14ac:dyDescent="0.2">
      <c r="A216" s="79" t="s">
        <v>91</v>
      </c>
      <c r="B216" s="80">
        <f>SUM(Support!B188:G188)</f>
        <v>13015.86</v>
      </c>
      <c r="C216" s="81">
        <f>ROUND(IF(Paraiska!B11="Ne PVM moketojas - rangos darbai",0,SUM(Support!B188:G188)*0.21),2)</f>
        <v>2733.33</v>
      </c>
      <c r="D216" s="82">
        <f>SUM(Support!B216,Support!C216)</f>
        <v>15749.19</v>
      </c>
      <c r="J216" s="135"/>
    </row>
    <row r="217" spans="1:10" x14ac:dyDescent="0.2">
      <c r="A217" s="83" t="s">
        <v>92</v>
      </c>
      <c r="B217" s="84">
        <f>ROUND(IF(Support!C216&gt;0,((Paraiska!B31+Paraiska!B32)/1.21),Paraiska!B31+Paraiska!B32),2)</f>
        <v>0</v>
      </c>
      <c r="C217" s="85">
        <f>Paraiska!D100-Paraiska!B100</f>
        <v>0</v>
      </c>
      <c r="D217" s="86">
        <f>Paraiska!B31+Paraiska!B32</f>
        <v>0</v>
      </c>
      <c r="J217" s="135"/>
    </row>
    <row r="218" spans="1:10" x14ac:dyDescent="0.2">
      <c r="A218" s="83" t="s">
        <v>93</v>
      </c>
      <c r="B218" s="84">
        <f>Support!B216-Support!B217</f>
        <v>13015.86</v>
      </c>
      <c r="C218" s="85">
        <f>Support!C216-Support!C217</f>
        <v>2733.33</v>
      </c>
      <c r="D218" s="86">
        <f>Support!D216-Support!D217</f>
        <v>15749.19</v>
      </c>
      <c r="J218" s="135"/>
    </row>
    <row r="219" spans="1:10" x14ac:dyDescent="0.2">
      <c r="A219" s="87" t="s">
        <v>94</v>
      </c>
      <c r="B219" s="324"/>
      <c r="C219" s="324"/>
      <c r="D219" s="325"/>
      <c r="J219" s="135"/>
    </row>
    <row r="220" spans="1:10" x14ac:dyDescent="0.2">
      <c r="A220" s="88" t="s">
        <v>95</v>
      </c>
      <c r="B220" s="84">
        <f>Support!B218/VLOOKUP(Paraiska!B35,Support!$A$18:'Support'!$J$25,10,0)</f>
        <v>271.16374999999999</v>
      </c>
      <c r="C220" s="85">
        <f>Support!C218/VLOOKUP(Paraiska!B35,Support!$A$18:'Support'!$J$25,10,0)</f>
        <v>56.944375000000001</v>
      </c>
      <c r="D220" s="86">
        <f>Support!D218/VLOOKUP(Paraiska!B35,Support!$A$18:'Support'!$J$25,10,0)</f>
        <v>328.10812500000003</v>
      </c>
      <c r="J220" s="135"/>
    </row>
    <row r="221" spans="1:10" x14ac:dyDescent="0.2">
      <c r="A221" s="88" t="s">
        <v>96</v>
      </c>
      <c r="B221" s="84">
        <f>Support!B218/Paraiska!B28</f>
        <v>18.337879342894983</v>
      </c>
      <c r="C221" s="85">
        <f>Support!C218/Paraiska!B28</f>
        <v>3.8509538166755894</v>
      </c>
      <c r="D221" s="86">
        <f>Support!D218/Paraiska!B28</f>
        <v>22.188833159570574</v>
      </c>
      <c r="J221" s="135"/>
    </row>
    <row r="222" spans="1:10" x14ac:dyDescent="0.2">
      <c r="A222" s="88" t="s">
        <v>97</v>
      </c>
      <c r="B222" s="84">
        <f>Support!B220/Paraiska!B28</f>
        <v>0.38203915297697877</v>
      </c>
      <c r="C222" s="85">
        <f>Support!C220/Paraiska!B28</f>
        <v>8.0228204514074794E-2</v>
      </c>
      <c r="D222" s="86">
        <f>Support!D220/Paraiska!B28</f>
        <v>0.46226735749105363</v>
      </c>
      <c r="J222" s="135"/>
    </row>
    <row r="223" spans="1:10" x14ac:dyDescent="0.2">
      <c r="A223" s="88" t="s">
        <v>98</v>
      </c>
      <c r="B223" s="89">
        <f>IFERROR(Support!B218/Paraiska!B30,0)</f>
        <v>464.85214285714289</v>
      </c>
      <c r="C223" s="90">
        <f>IFERROR(Support!C218/Paraiska!B30,0)</f>
        <v>97.618928571428569</v>
      </c>
      <c r="D223" s="91">
        <f>IFERROR(Support!D218/Paraiska!B30,0)</f>
        <v>562.47107142857146</v>
      </c>
      <c r="J223" s="135"/>
    </row>
    <row r="224" spans="1:10" ht="12" thickBot="1" x14ac:dyDescent="0.25">
      <c r="A224" s="92" t="s">
        <v>99</v>
      </c>
      <c r="B224" s="93">
        <f>IFERROR(Support!B220/Paraiska!B30,0)</f>
        <v>9.6844196428571419</v>
      </c>
      <c r="C224" s="94">
        <f>IFERROR(Support!C220/Paraiska!B30,0)</f>
        <v>2.0337276785714287</v>
      </c>
      <c r="D224" s="95">
        <f>IFERROR(Support!D220/Paraiska!B30,0)</f>
        <v>11.718147321428573</v>
      </c>
      <c r="J224" s="135"/>
    </row>
    <row r="225" spans="1:10" x14ac:dyDescent="0.2">
      <c r="A225" s="147"/>
      <c r="B225" s="148"/>
      <c r="C225" s="148"/>
      <c r="D225" s="148"/>
      <c r="E225" s="148"/>
      <c r="F225" s="148"/>
      <c r="G225" s="148"/>
      <c r="H225" s="148"/>
      <c r="I225" s="148"/>
      <c r="J225" s="149"/>
    </row>
    <row r="228" spans="1:10" x14ac:dyDescent="0.2">
      <c r="A228" s="150"/>
      <c r="B228" s="151" t="s">
        <v>100</v>
      </c>
      <c r="C228" s="152"/>
      <c r="D228" s="152"/>
      <c r="E228" s="152"/>
      <c r="F228" s="152"/>
      <c r="G228" s="152"/>
      <c r="H228" s="152"/>
      <c r="I228" s="152"/>
      <c r="J228" s="153"/>
    </row>
    <row r="229" spans="1:10" ht="12" thickBot="1" x14ac:dyDescent="0.25">
      <c r="A229" s="163"/>
      <c r="B229" s="164"/>
      <c r="C229" s="164"/>
      <c r="D229" s="164"/>
      <c r="E229" s="164"/>
      <c r="F229" s="164"/>
      <c r="G229" s="164"/>
      <c r="H229" s="164"/>
      <c r="I229" s="164"/>
      <c r="J229" s="165"/>
    </row>
    <row r="230" spans="1:10" x14ac:dyDescent="0.2">
      <c r="A230" s="172" t="s">
        <v>101</v>
      </c>
      <c r="B230" s="173"/>
      <c r="C230" s="173"/>
      <c r="D230" s="173"/>
      <c r="E230" s="174"/>
      <c r="G230" s="1" t="s">
        <v>102</v>
      </c>
      <c r="J230" s="135"/>
    </row>
    <row r="231" spans="1:10" x14ac:dyDescent="0.2">
      <c r="A231" s="175" t="s">
        <v>103</v>
      </c>
      <c r="B231" s="176">
        <f>MAX(G232:H238)</f>
        <v>5000</v>
      </c>
      <c r="D231" s="177" t="s">
        <v>104</v>
      </c>
      <c r="E231" s="178">
        <f>IF(Paraiska!B36&gt;10%,10%,Paraiska!B36)</f>
        <v>0.1</v>
      </c>
      <c r="G231" s="166" t="s">
        <v>32</v>
      </c>
      <c r="H231" s="1">
        <v>6</v>
      </c>
      <c r="J231" s="135"/>
    </row>
    <row r="232" spans="1:10" x14ac:dyDescent="0.2">
      <c r="A232" s="134"/>
      <c r="E232" s="179"/>
      <c r="G232" s="160">
        <f>ROUND(C19/B19,2)</f>
        <v>2307.69</v>
      </c>
      <c r="H232" s="160">
        <f>E19/D19</f>
        <v>5000</v>
      </c>
      <c r="J232" s="135"/>
    </row>
    <row r="233" spans="1:10" x14ac:dyDescent="0.2">
      <c r="A233" s="134"/>
      <c r="B233" s="52" t="s">
        <v>105</v>
      </c>
      <c r="C233" s="52" t="s">
        <v>106</v>
      </c>
      <c r="D233" s="52" t="s">
        <v>107</v>
      </c>
      <c r="E233" s="180" t="s">
        <v>106</v>
      </c>
      <c r="G233" s="160">
        <f t="shared" ref="G233:G237" si="2">ROUND(C20/B20,2)</f>
        <v>2479.34</v>
      </c>
      <c r="H233" s="160">
        <f t="shared" ref="H233:H238" si="3">E20/D20</f>
        <v>5000</v>
      </c>
      <c r="J233" s="135"/>
    </row>
    <row r="234" spans="1:10" x14ac:dyDescent="0.2">
      <c r="A234" s="181" t="s">
        <v>14</v>
      </c>
      <c r="B234" s="182">
        <f>$B$231*1.21+(IF($B$231*B19&lt;C19,C19,$B$231*B19)+IF($B$231*D19&lt;E19,E19,$B$231*D19)+$B$231*F19+$B$231*$E$231*K19)*1.21+(($B$231+IF($B$231*B19&lt;C19,C19,$B$231*B19)+IF($B$231*D19&lt;E19,E19,$B$231*D19)+$B$231*F19+$B$231*$E$231*K19)*1.21*G19)*1.21</f>
        <v>8260.8435929545431</v>
      </c>
      <c r="C234" s="182">
        <f>$B$231*1.21+(IF($B$231*B19&lt;C19,C19,$B$231*B19)+IF($B$231*D19&lt;E19,E19,$B$231*D19)+$B$231*F19+$B$231*$E$231*K19)*1.21+(($B$231+IF($B$231*B19&lt;C19,C19,$B$231*B19)+IF($B$231*D19&lt;E19,E19,$B$231*D19)+$B$231*F19+$B$231*$E$231*K19)*1.21*G19)*1.21</f>
        <v>8260.8435929545431</v>
      </c>
      <c r="D234" s="182">
        <f>$B$231+(IF($B$231*B19&lt;C19,C19,$B$231*B19)+IF($B$231*D19&lt;E19,E19,$B$231*D19)+$B$231*F19+$B$231*$E$231*K19)*1.21+(($B$231+(IF($B$231*B19&lt;C19,C19,$B$231*B19)+IF($B$231*D19&lt;E19,E19,$B$231*D19)+$B$231*F19+$B$231*$E$231*K19)*1.21)*G19)*1.21</f>
        <v>7113.8834907922592</v>
      </c>
      <c r="E234" s="183">
        <f>($B$231+(IF($B$231*B19&lt;C19,C19,$B$231*B19)+IF($B$231*D19&lt;E19,E19,$B$231*D19)+$B$231*F19+$B$231*$E$231*K19)*1.21+(($B$231+(IF($B$231*B19&lt;C19,C19,$B$231*B19)+IF($B$231*D19&lt;E19,E19,$B$231*D19)+$B$231*F19+$B$231*$E$231*K19)*1.21)*G19)*1.21)*1.21</f>
        <v>8607.7990238586335</v>
      </c>
      <c r="G234" s="160">
        <f t="shared" si="2"/>
        <v>2654.87</v>
      </c>
      <c r="H234" s="160">
        <f t="shared" si="3"/>
        <v>5000</v>
      </c>
      <c r="J234" s="135"/>
    </row>
    <row r="235" spans="1:10" x14ac:dyDescent="0.2">
      <c r="A235" s="181" t="s">
        <v>18</v>
      </c>
      <c r="B235" s="182">
        <f t="shared" ref="B235:B240" si="4">$B$231*1.21+(IF($B$231*B20&lt;C20,C20,$B$231*B20)+IF($B$231*D20&lt;E20,E20,$B$231*D20)+$B$231*F20+$B$231*$E$231*K20)*1.21+(($B$231+IF($B$231*B20&lt;C20,C20,$B$231*B20)+IF($B$231*D20&lt;E20,E20,$B$231*D20)+$B$231*F20+$B$231*$E$231*K20)*1.21*G20)*1.21</f>
        <v>8583.8941853286051</v>
      </c>
      <c r="C235" s="182">
        <f t="shared" ref="C235:C240" si="5">$B$231*1.21+(IF($B$231*B20&lt;C20,C20,$B$231*B20)+IF($B$231*D20&lt;E20,E20,$B$231*D20)+$B$231*F20+$B$231*$E$231*K20)*1.21+(($B$231+IF($B$231*B20&lt;C20,C20,$B$231*B20)+IF($B$231*D20&lt;E20,E20,$B$231*D20)+$B$231*F20+$B$231*$E$231*K20)*1.21*G20)*1.21</f>
        <v>8583.8941853286051</v>
      </c>
      <c r="D235" s="182">
        <f t="shared" ref="D235:D240" si="6">$B$231+(IF($B$231*B20&lt;C20,C20,$B$231*B20)+IF($B$231*D20&lt;E20,E20,$B$231*D20)+$B$231*F20+$B$231*$E$231*K20)*1.21+(($B$231+(IF($B$231*B20&lt;C20,C20,$B$231*B20)+IF($B$231*D20&lt;E20,E20,$B$231*D20)+$B$231*F20+$B$231*$E$231*K20)*1.21)*G20)*1.21</f>
        <v>7403.413393381541</v>
      </c>
      <c r="E235" s="183">
        <f t="shared" ref="E235:E240" si="7">($B$231+(IF($B$231*B20&lt;C20,C20,$B$231*B20)+IF($B$231*D20&lt;E20,E20,$B$231*D20)+$B$231*F20+$B$231*$E$231*K20)*1.21+(($B$231+(IF($B$231*B20&lt;C20,C20,$B$231*B20)+IF($B$231*D20&lt;E20,E20,$B$231*D20)+$B$231*F20+$B$231*$E$231*K20)*1.21)*G20)*1.21)*1.21</f>
        <v>8958.1302059916652</v>
      </c>
      <c r="G235" s="160">
        <f t="shared" si="2"/>
        <v>2884.62</v>
      </c>
      <c r="H235" s="160">
        <f t="shared" si="3"/>
        <v>5000</v>
      </c>
      <c r="J235" s="135"/>
    </row>
    <row r="236" spans="1:10" x14ac:dyDescent="0.2">
      <c r="A236" s="181" t="s">
        <v>20</v>
      </c>
      <c r="B236" s="182">
        <f t="shared" si="4"/>
        <v>8848.3559790931504</v>
      </c>
      <c r="C236" s="182">
        <f t="shared" si="5"/>
        <v>8848.3559790931504</v>
      </c>
      <c r="D236" s="182">
        <f t="shared" si="6"/>
        <v>7642.02048240766</v>
      </c>
      <c r="E236" s="183">
        <f t="shared" si="7"/>
        <v>9246.844783713268</v>
      </c>
      <c r="G236" s="160">
        <f t="shared" si="2"/>
        <v>3125</v>
      </c>
      <c r="H236" s="160">
        <f t="shared" si="3"/>
        <v>5000</v>
      </c>
      <c r="J236" s="135"/>
    </row>
    <row r="237" spans="1:10" x14ac:dyDescent="0.2">
      <c r="A237" s="181" t="s">
        <v>22</v>
      </c>
      <c r="B237" s="182">
        <f t="shared" si="4"/>
        <v>9043.086881656287</v>
      </c>
      <c r="C237" s="182">
        <f t="shared" si="5"/>
        <v>9043.086881656287</v>
      </c>
      <c r="D237" s="182">
        <f t="shared" si="6"/>
        <v>7818.858051994589</v>
      </c>
      <c r="E237" s="183">
        <f t="shared" si="7"/>
        <v>9460.8182429134522</v>
      </c>
      <c r="G237" s="160">
        <f t="shared" si="2"/>
        <v>3409.09</v>
      </c>
      <c r="H237" s="160">
        <f t="shared" si="3"/>
        <v>5000</v>
      </c>
      <c r="J237" s="135"/>
    </row>
    <row r="238" spans="1:10" x14ac:dyDescent="0.2">
      <c r="A238" s="181" t="s">
        <v>23</v>
      </c>
      <c r="B238" s="182">
        <f t="shared" si="4"/>
        <v>9164.7100120529904</v>
      </c>
      <c r="C238" s="182">
        <f t="shared" si="5"/>
        <v>9164.7100120529904</v>
      </c>
      <c r="D238" s="182">
        <f t="shared" si="6"/>
        <v>7930.7538396526234</v>
      </c>
      <c r="E238" s="183">
        <f t="shared" si="7"/>
        <v>9596.2121459796745</v>
      </c>
      <c r="G238" s="160">
        <f>ROUND(C25/B25,2)</f>
        <v>3750</v>
      </c>
      <c r="H238" s="160">
        <f t="shared" si="3"/>
        <v>5000</v>
      </c>
      <c r="J238" s="135"/>
    </row>
    <row r="239" spans="1:10" x14ac:dyDescent="0.2">
      <c r="A239" s="181" t="s">
        <v>25</v>
      </c>
      <c r="B239" s="182">
        <f t="shared" si="4"/>
        <v>9448.6217506871726</v>
      </c>
      <c r="C239" s="182">
        <f t="shared" si="5"/>
        <v>9448.6217506871726</v>
      </c>
      <c r="D239" s="182">
        <f t="shared" si="6"/>
        <v>8183.3104510466346</v>
      </c>
      <c r="E239" s="183">
        <f t="shared" si="7"/>
        <v>9901.8056457664279</v>
      </c>
      <c r="J239" s="135"/>
    </row>
    <row r="240" spans="1:10" x14ac:dyDescent="0.2">
      <c r="A240" s="181" t="s">
        <v>27</v>
      </c>
      <c r="B240" s="182">
        <f t="shared" si="4"/>
        <v>9715.81744837925</v>
      </c>
      <c r="C240" s="182">
        <f t="shared" si="5"/>
        <v>9715.81744837925</v>
      </c>
      <c r="D240" s="182">
        <f t="shared" si="6"/>
        <v>8418.7280242472461</v>
      </c>
      <c r="E240" s="183">
        <f t="shared" si="7"/>
        <v>10186.660909339167</v>
      </c>
      <c r="J240" s="135"/>
    </row>
    <row r="241" spans="1:10" x14ac:dyDescent="0.2">
      <c r="A241" s="134"/>
      <c r="D241" s="182"/>
      <c r="E241" s="179"/>
      <c r="J241" s="135"/>
    </row>
    <row r="242" spans="1:10" x14ac:dyDescent="0.2">
      <c r="A242" s="134" t="s">
        <v>108</v>
      </c>
      <c r="D242" s="182"/>
      <c r="E242" s="179"/>
      <c r="J242" s="135"/>
    </row>
    <row r="243" spans="1:10" x14ac:dyDescent="0.2">
      <c r="A243" s="134"/>
      <c r="B243" s="52" t="s">
        <v>105</v>
      </c>
      <c r="C243" s="52" t="s">
        <v>106</v>
      </c>
      <c r="D243" s="52" t="s">
        <v>107</v>
      </c>
      <c r="E243" s="180" t="s">
        <v>106</v>
      </c>
      <c r="J243" s="135"/>
    </row>
    <row r="244" spans="1:10" x14ac:dyDescent="0.2">
      <c r="A244" s="134" t="s">
        <v>14</v>
      </c>
      <c r="B244" s="184">
        <f>(B234-$B$231*1.21)/($B$231*1.21)</f>
        <v>0.36542869305033771</v>
      </c>
      <c r="C244" s="184">
        <f>(C234-$B$231)/($B$231)</f>
        <v>0.65216871859090864</v>
      </c>
      <c r="D244" s="184">
        <f>(D234-$B$231)/($B$231)</f>
        <v>0.42277669815845181</v>
      </c>
      <c r="E244" s="185">
        <f>(E234-$B$231)/($B$231)</f>
        <v>0.72155980477172665</v>
      </c>
      <c r="J244" s="135"/>
    </row>
    <row r="245" spans="1:10" x14ac:dyDescent="0.2">
      <c r="A245" s="134" t="s">
        <v>18</v>
      </c>
      <c r="B245" s="184">
        <f t="shared" ref="B245:B250" si="8">(B235-$B$231*1.21)/($B$231*1.21)</f>
        <v>0.41882548517828183</v>
      </c>
      <c r="C245" s="184">
        <f t="shared" ref="C245:C250" si="9">(C235-$B$231)/($B$231)</f>
        <v>0.71677883706572099</v>
      </c>
      <c r="D245" s="184">
        <f t="shared" ref="D245:E250" si="10">(D235-$B$231)/($B$231)</f>
        <v>0.48068267867630821</v>
      </c>
      <c r="E245" s="185">
        <f t="shared" si="10"/>
        <v>0.79162604119833302</v>
      </c>
      <c r="J245" s="135"/>
    </row>
    <row r="246" spans="1:10" x14ac:dyDescent="0.2">
      <c r="A246" s="134" t="s">
        <v>20</v>
      </c>
      <c r="B246" s="184">
        <f t="shared" si="8"/>
        <v>0.46253817836250422</v>
      </c>
      <c r="C246" s="184">
        <f t="shared" si="9"/>
        <v>0.76967119581863008</v>
      </c>
      <c r="D246" s="184">
        <f t="shared" si="10"/>
        <v>0.52840409648153197</v>
      </c>
      <c r="E246" s="185">
        <f t="shared" si="10"/>
        <v>0.84936895674265356</v>
      </c>
      <c r="J246" s="135"/>
    </row>
    <row r="247" spans="1:10" x14ac:dyDescent="0.2">
      <c r="A247" s="134" t="s">
        <v>22</v>
      </c>
      <c r="B247" s="184">
        <f t="shared" si="8"/>
        <v>0.49472510440599787</v>
      </c>
      <c r="C247" s="184">
        <f t="shared" si="9"/>
        <v>0.80861737633125741</v>
      </c>
      <c r="D247" s="184">
        <f t="shared" si="10"/>
        <v>0.56377161039891777</v>
      </c>
      <c r="E247" s="185">
        <f t="shared" si="10"/>
        <v>0.89216364858269048</v>
      </c>
      <c r="J247" s="135"/>
    </row>
    <row r="248" spans="1:10" x14ac:dyDescent="0.2">
      <c r="A248" s="134" t="s">
        <v>23</v>
      </c>
      <c r="B248" s="184">
        <f t="shared" si="8"/>
        <v>0.51482810116578348</v>
      </c>
      <c r="C248" s="184">
        <f t="shared" si="9"/>
        <v>0.83294200241059801</v>
      </c>
      <c r="D248" s="184">
        <f t="shared" si="10"/>
        <v>0.58615076793052467</v>
      </c>
      <c r="E248" s="185">
        <f t="shared" si="10"/>
        <v>0.91924242919593491</v>
      </c>
      <c r="J248" s="135"/>
    </row>
    <row r="249" spans="1:10" x14ac:dyDescent="0.2">
      <c r="A249" s="134" t="s">
        <v>25</v>
      </c>
      <c r="B249" s="184">
        <f t="shared" si="8"/>
        <v>0.56175566127060705</v>
      </c>
      <c r="C249" s="184">
        <f t="shared" si="9"/>
        <v>0.88972435013743456</v>
      </c>
      <c r="D249" s="184">
        <f t="shared" si="10"/>
        <v>0.63666209020932696</v>
      </c>
      <c r="E249" s="185">
        <f t="shared" si="10"/>
        <v>0.98036112915328555</v>
      </c>
      <c r="J249" s="135"/>
    </row>
    <row r="250" spans="1:10" ht="12" thickBot="1" x14ac:dyDescent="0.25">
      <c r="A250" s="186" t="s">
        <v>27</v>
      </c>
      <c r="B250" s="187">
        <f t="shared" si="8"/>
        <v>0.60592023940152895</v>
      </c>
      <c r="C250" s="187">
        <f t="shared" si="9"/>
        <v>0.94316348967584995</v>
      </c>
      <c r="D250" s="187">
        <f t="shared" si="10"/>
        <v>0.68374560484944924</v>
      </c>
      <c r="E250" s="188">
        <f t="shared" si="10"/>
        <v>1.0373321818678334</v>
      </c>
      <c r="J250" s="135"/>
    </row>
    <row r="251" spans="1:10" x14ac:dyDescent="0.2">
      <c r="A251" s="134"/>
      <c r="J251" s="135"/>
    </row>
    <row r="252" spans="1:10" x14ac:dyDescent="0.2">
      <c r="A252" s="134"/>
      <c r="J252" s="135"/>
    </row>
    <row r="253" spans="1:10" x14ac:dyDescent="0.2">
      <c r="A253" s="134"/>
      <c r="J253" s="135"/>
    </row>
    <row r="254" spans="1:10" x14ac:dyDescent="0.2">
      <c r="A254" s="161" t="s">
        <v>109</v>
      </c>
      <c r="B254" s="167">
        <f>IF(OR(AND(Paraiska!B6 = 1, Paraiska!B9=""),AND(Paraiska!B6 = 2, Paraiska!B9="", Paraiska!E9="")),IFERROR(IF(Paraiska!B11="PVM moketojas", (Paraiska!D99-(Paraiska!B10+Paraiska!E10)*1.21)/((Paraiska!B10+Paraiska!E10)*1.21),(Paraiska!D99-(Paraiska!B10+Paraiska!E10))/(Paraiska!B10+Paraiska!E10)),0),IFERROR(IF(Paraiska!B11="PVM moketojas", (Paraiska!D99-(Paraiska!B9+Paraiska!E9)*1.21)/((Paraiska!B9+Paraiska!E9)*1.21),(Paraiska!D99-(Paraiska!B9+Paraiska!E9))/(Paraiska!B9+Paraiska!E9)),0))</f>
        <v>0.85940850059031881</v>
      </c>
      <c r="D254" s="162" t="s">
        <v>110</v>
      </c>
      <c r="E254" s="189">
        <f>ROUND(IF(OR(AND(Paraiska!B6=1,Paraiska!B9=""),AND(Paraiska!B6=2,Paraiska!B9="",Paraiska!E9="")),IFERROR(IF(Paraiska!B11="PVM moketojas",(Paraiska!D99-(Paraiska!B10+Paraiska!E10)*1.21)/((Paraiska!B10+Paraiska!E10)*1.21),(Paraiska!D99-(Paraiska!B10+Paraiska!E10))/(Paraiska!B10+Paraiska!E10)),0),IFERROR(IF(Paraiska!B11="PVM moketojas",(Paraiska!D99-(Paraiska!B9+Paraiska!E9)*1.21)/((Paraiska!B9+Paraiska!E9)*1.21),(Paraiska!D99-(Paraiska!B9+Paraiska!E9))/(Paraiska!B9+Paraiska!E9)),0))-IFERROR(IF(Paraiska!B11="PVM moketojas",VLOOKUP(Paraiska!B35,Support!$A$244:$E$250,2,FALSE),IF(Paraiska!B11="PVM moketojas - PVM neapmokestinama veikla (ne rangos darbai)",VLOOKUP(Paraiska!B35,Support!$A$244:$E$250,3,FALSE),IF(Paraiska!B11="Ne PVM moketojas - rangos darbai",VLOOKUP(Paraiska!B35,Support!$A$244:$E$250,4,FALSE),IF(Paraiska!B11="Ne PVM moketojas - ne rangos darbai",VLOOKUP(Paraiska!B35,Support!$A$244:$E$250,5,FALSE))))),0),0)</f>
        <v>0</v>
      </c>
      <c r="J254" s="135"/>
    </row>
    <row r="255" spans="1:10" x14ac:dyDescent="0.2">
      <c r="A255" s="147"/>
      <c r="B255" s="148"/>
      <c r="C255" s="148"/>
      <c r="D255" s="148"/>
      <c r="E255" s="148"/>
      <c r="F255" s="148"/>
      <c r="G255" s="148"/>
      <c r="H255" s="148"/>
      <c r="I255" s="148"/>
      <c r="J255" s="149"/>
    </row>
    <row r="258" spans="1:1" x14ac:dyDescent="0.2">
      <c r="A258" s="168"/>
    </row>
  </sheetData>
  <sheetProtection algorithmName="SHA-512" hashValue="FiKrgUilh6fpKw/T2MvFtBVX6kRGKtUFW4XA+hIiPCZQt5hNpTpnnSYyLxpZ+bQu1oGHsgG7ixhEHaGkRiRDkg==" saltValue="0qWp9tcvunLT2JzTw+gOCA==" spinCount="100000" sheet="1" objects="1" scenarios="1"/>
  <mergeCells count="49">
    <mergeCell ref="B219:D219"/>
    <mergeCell ref="B206:D206"/>
    <mergeCell ref="E206:G206"/>
    <mergeCell ref="B207:D207"/>
    <mergeCell ref="E207:G207"/>
    <mergeCell ref="B208:D208"/>
    <mergeCell ref="E208:G208"/>
    <mergeCell ref="B201:D201"/>
    <mergeCell ref="E201:G201"/>
    <mergeCell ref="B202:D202"/>
    <mergeCell ref="E202:G202"/>
    <mergeCell ref="B205:G205"/>
    <mergeCell ref="B196:D196"/>
    <mergeCell ref="E196:G196"/>
    <mergeCell ref="B199:G199"/>
    <mergeCell ref="B200:D200"/>
    <mergeCell ref="E200:G200"/>
    <mergeCell ref="B193:G193"/>
    <mergeCell ref="B194:D194"/>
    <mergeCell ref="E194:G194"/>
    <mergeCell ref="B195:D195"/>
    <mergeCell ref="E195:G195"/>
    <mergeCell ref="B188:D188"/>
    <mergeCell ref="E188:G188"/>
    <mergeCell ref="B189:D189"/>
    <mergeCell ref="E189:G189"/>
    <mergeCell ref="B190:D190"/>
    <mergeCell ref="E190:G190"/>
    <mergeCell ref="B170:B174"/>
    <mergeCell ref="C170:C174"/>
    <mergeCell ref="D170:D174"/>
    <mergeCell ref="B185:G185"/>
    <mergeCell ref="B187:G187"/>
    <mergeCell ref="B181:D181"/>
    <mergeCell ref="B129:B133"/>
    <mergeCell ref="C129:C133"/>
    <mergeCell ref="D129:D133"/>
    <mergeCell ref="B149:B153"/>
    <mergeCell ref="C149:C153"/>
    <mergeCell ref="D149:D153"/>
    <mergeCell ref="B78:B82"/>
    <mergeCell ref="C78:C82"/>
    <mergeCell ref="D78:D82"/>
    <mergeCell ref="B37:B41"/>
    <mergeCell ref="C37:C41"/>
    <mergeCell ref="D37:D41"/>
    <mergeCell ref="B57:B61"/>
    <mergeCell ref="C57:C61"/>
    <mergeCell ref="D57:D61"/>
  </mergeCells>
  <phoneticPr fontId="12" type="noConversion"/>
  <conditionalFormatting sqref="B244:E250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customProperties>
    <customPr name="EpmWorksheetKeyString_GU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unprotectall">
                <anchor moveWithCells="1" sizeWithCells="1">
                  <from>
                    <xdr:col>11</xdr:col>
                    <xdr:colOff>28575</xdr:colOff>
                    <xdr:row>1</xdr:row>
                    <xdr:rowOff>123825</xdr:rowOff>
                  </from>
                  <to>
                    <xdr:col>13</xdr:col>
                    <xdr:colOff>247650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6EF56-D48F-4A6E-BEBD-88FD30516C88}">
  <sheetPr codeName="Sheet2">
    <tabColor rgb="FF92D050"/>
  </sheetPr>
  <dimension ref="A1:AD208"/>
  <sheetViews>
    <sheetView showGridLines="0" tabSelected="1" zoomScaleNormal="100" workbookViewId="0">
      <pane ySplit="4" topLeftCell="A5" activePane="bottomLeft" state="frozen"/>
      <selection pane="bottomLeft" activeCell="N16" sqref="N16"/>
    </sheetView>
  </sheetViews>
  <sheetFormatPr defaultColWidth="9.140625" defaultRowHeight="11.25" x14ac:dyDescent="0.2"/>
  <cols>
    <col min="1" max="1" width="72.28515625" style="17" customWidth="1"/>
    <col min="2" max="4" width="15.28515625" style="17" customWidth="1"/>
    <col min="5" max="7" width="9.7109375" style="17" hidden="1" customWidth="1"/>
    <col min="8" max="8" width="6.85546875" style="17" hidden="1" customWidth="1"/>
    <col min="9" max="11" width="15.28515625" style="17" hidden="1" customWidth="1"/>
    <col min="12" max="12" width="3.140625" style="17" customWidth="1"/>
    <col min="13" max="13" width="2.7109375" style="17" customWidth="1"/>
    <col min="14" max="14" width="3.140625" style="17" customWidth="1"/>
    <col min="15" max="15" width="14.28515625" style="17" customWidth="1"/>
    <col min="16" max="16" width="3.28515625" style="17" customWidth="1"/>
    <col min="17" max="18" width="14.28515625" style="17" customWidth="1" collapsed="1"/>
    <col min="19" max="19" width="3.28515625" style="17" customWidth="1"/>
    <col min="20" max="21" width="14.28515625" style="17" customWidth="1" collapsed="1"/>
    <col min="22" max="25" width="8.85546875" style="17" customWidth="1"/>
    <col min="26" max="28" width="7.7109375" style="17" customWidth="1"/>
    <col min="29" max="29" width="6.5703125" style="17" customWidth="1"/>
    <col min="30" max="16384" width="9.140625" style="17"/>
  </cols>
  <sheetData>
    <row r="1" spans="1:25" x14ac:dyDescent="0.2">
      <c r="B1" s="478" t="s">
        <v>111</v>
      </c>
      <c r="C1" s="478"/>
      <c r="D1" s="478"/>
      <c r="E1" s="478"/>
      <c r="F1" s="478"/>
      <c r="G1" s="478"/>
      <c r="H1" s="7"/>
      <c r="I1" s="222"/>
      <c r="J1" s="222"/>
      <c r="K1" s="222"/>
    </row>
    <row r="2" spans="1:25" x14ac:dyDescent="0.2">
      <c r="A2" s="222"/>
      <c r="B2" s="13"/>
      <c r="C2" s="13"/>
      <c r="D2" s="13"/>
      <c r="E2" s="13"/>
      <c r="F2" s="13"/>
      <c r="G2" s="13"/>
    </row>
    <row r="4" spans="1:25" s="29" customFormat="1" x14ac:dyDescent="0.2">
      <c r="A4" s="223" t="s">
        <v>332</v>
      </c>
      <c r="B4" s="460" t="s">
        <v>112</v>
      </c>
      <c r="C4" s="460"/>
      <c r="D4" s="460"/>
      <c r="E4" s="460"/>
      <c r="F4" s="460"/>
      <c r="G4" s="460"/>
      <c r="H4" s="224"/>
      <c r="I4" s="424" t="s">
        <v>112</v>
      </c>
      <c r="J4" s="424"/>
      <c r="K4" s="424"/>
      <c r="L4" s="224"/>
      <c r="M4" s="224"/>
      <c r="N4" s="224"/>
      <c r="V4" s="29" t="s">
        <v>113</v>
      </c>
    </row>
    <row r="5" spans="1:25" ht="12" thickBot="1" x14ac:dyDescent="0.25">
      <c r="A5" s="225" t="s">
        <v>114</v>
      </c>
      <c r="B5" s="366" t="s">
        <v>9</v>
      </c>
      <c r="C5" s="366"/>
      <c r="D5" s="366"/>
      <c r="E5" s="366"/>
      <c r="F5" s="366"/>
      <c r="G5" s="366"/>
      <c r="L5" s="7"/>
      <c r="M5" s="7"/>
      <c r="N5" s="7"/>
    </row>
    <row r="6" spans="1:25" s="131" customFormat="1" ht="12" thickBot="1" x14ac:dyDescent="0.25">
      <c r="A6" s="226" t="s">
        <v>115</v>
      </c>
      <c r="B6" s="461">
        <v>1</v>
      </c>
      <c r="C6" s="461"/>
      <c r="D6" s="461"/>
      <c r="E6" s="461"/>
      <c r="F6" s="461"/>
      <c r="G6" s="462"/>
      <c r="H6" s="17"/>
      <c r="I6" s="17"/>
      <c r="J6" s="17"/>
      <c r="K6" s="17"/>
      <c r="L6" s="7"/>
      <c r="M6" s="7"/>
      <c r="N6" s="7"/>
      <c r="O6" s="28"/>
      <c r="P6" s="17"/>
      <c r="Q6" s="17"/>
      <c r="R6" s="17"/>
      <c r="S6" s="17"/>
      <c r="T6" s="17"/>
    </row>
    <row r="7" spans="1:25" ht="10.9" customHeight="1" thickBot="1" x14ac:dyDescent="0.25">
      <c r="A7" s="227"/>
      <c r="B7" s="367" t="s">
        <v>116</v>
      </c>
      <c r="C7" s="368"/>
      <c r="D7" s="368"/>
      <c r="E7" s="368"/>
      <c r="F7" s="368"/>
      <c r="G7" s="369"/>
      <c r="H7" s="7"/>
      <c r="I7" s="370" t="s">
        <v>116</v>
      </c>
      <c r="J7" s="371"/>
      <c r="K7" s="372"/>
      <c r="L7" s="7"/>
      <c r="M7" s="7"/>
      <c r="N7" s="7"/>
      <c r="O7" s="203"/>
    </row>
    <row r="8" spans="1:25" ht="12" hidden="1" thickBot="1" x14ac:dyDescent="0.25">
      <c r="A8" s="7"/>
      <c r="B8" s="373"/>
      <c r="C8" s="373"/>
      <c r="D8" s="373"/>
      <c r="E8" s="374" t="s">
        <v>117</v>
      </c>
      <c r="F8" s="373"/>
      <c r="G8" s="375"/>
      <c r="I8" s="437" t="s">
        <v>118</v>
      </c>
      <c r="J8" s="438"/>
      <c r="K8" s="439"/>
      <c r="L8" s="7"/>
      <c r="M8" s="7"/>
      <c r="N8" s="7"/>
    </row>
    <row r="9" spans="1:25" s="131" customFormat="1" x14ac:dyDescent="0.2">
      <c r="A9" s="228" t="s">
        <v>119</v>
      </c>
      <c r="B9" s="366"/>
      <c r="C9" s="366"/>
      <c r="D9" s="366"/>
      <c r="E9" s="366"/>
      <c r="F9" s="366"/>
      <c r="G9" s="376"/>
      <c r="H9" s="7"/>
      <c r="I9" s="377" t="str">
        <f>IF(SUM(B9:G9)=0,"",SUM(B9:G9))</f>
        <v/>
      </c>
      <c r="J9" s="378"/>
      <c r="K9" s="379"/>
      <c r="L9" s="7"/>
      <c r="M9" s="7"/>
      <c r="N9" s="7"/>
      <c r="O9" s="204"/>
      <c r="P9" s="55"/>
      <c r="Q9" s="55"/>
      <c r="R9" s="55"/>
      <c r="S9" s="55"/>
      <c r="T9" s="55"/>
      <c r="U9" s="132"/>
      <c r="V9" s="132"/>
      <c r="W9" s="132"/>
      <c r="X9" s="132"/>
      <c r="Y9" s="132"/>
    </row>
    <row r="10" spans="1:25" s="131" customFormat="1" hidden="1" x14ac:dyDescent="0.2">
      <c r="A10" s="228" t="s">
        <v>120</v>
      </c>
      <c r="B10" s="366">
        <v>7000</v>
      </c>
      <c r="C10" s="366"/>
      <c r="D10" s="366"/>
      <c r="E10" s="366"/>
      <c r="F10" s="366"/>
      <c r="G10" s="376"/>
      <c r="H10" s="7"/>
      <c r="I10" s="377">
        <f>IF(SUM(B10:G10)=0,"",SUM(B10:G10))</f>
        <v>7000</v>
      </c>
      <c r="J10" s="378"/>
      <c r="K10" s="379"/>
      <c r="L10" s="229"/>
      <c r="M10" s="7"/>
      <c r="N10" s="7"/>
      <c r="O10" s="55"/>
      <c r="P10" s="55"/>
      <c r="Q10" s="55"/>
      <c r="R10" s="55"/>
      <c r="S10" s="55"/>
      <c r="T10" s="55"/>
      <c r="U10" s="132"/>
      <c r="V10" s="132"/>
      <c r="W10" s="132"/>
      <c r="X10" s="132"/>
      <c r="Y10" s="132"/>
    </row>
    <row r="11" spans="1:25" s="131" customFormat="1" x14ac:dyDescent="0.2">
      <c r="A11" s="230" t="s">
        <v>121</v>
      </c>
      <c r="B11" s="463" t="s">
        <v>1</v>
      </c>
      <c r="C11" s="463"/>
      <c r="D11" s="463"/>
      <c r="E11" s="463"/>
      <c r="F11" s="463"/>
      <c r="G11" s="464"/>
      <c r="H11" s="7"/>
      <c r="I11" s="425" t="str">
        <f>B11</f>
        <v>PVM moketojas</v>
      </c>
      <c r="J11" s="426"/>
      <c r="K11" s="427"/>
      <c r="L11" s="229"/>
      <c r="M11" s="7"/>
      <c r="N11" s="7"/>
      <c r="O11" s="55"/>
      <c r="P11" s="55"/>
      <c r="Q11" s="55"/>
      <c r="R11" s="55"/>
      <c r="S11" s="55"/>
      <c r="T11" s="55"/>
      <c r="U11" s="132"/>
      <c r="V11" s="132"/>
      <c r="W11" s="132"/>
      <c r="X11" s="132"/>
      <c r="Y11" s="132"/>
    </row>
    <row r="12" spans="1:25" s="131" customFormat="1" ht="12" thickBot="1" x14ac:dyDescent="0.25">
      <c r="A12" s="231" t="s">
        <v>122</v>
      </c>
      <c r="B12" s="480" t="str">
        <f>IFERROR(IF(OR(B11="PVM moketojas - PVM neapmokestinama veikla (ne rangos darbai)",B11="Ne PVM moketojas - rangos darbai",B11="Ne PVM moketojas - ne rangos darbai"),"NE",IF(VLOOKUP(B27,'Darbu Sarasas'!$F$1:$H$55,3,FALSE)="Taikomas APVM","TAIP","NE")),"TAIP")</f>
        <v>TAIP</v>
      </c>
      <c r="C12" s="480" t="str">
        <f ca="1">OFFSET(Support!$A$3,1,MATCH($B$11,Support!$A$3:'Support'!$D$3,0)-1,1,1)</f>
        <v>NE</v>
      </c>
      <c r="D12" s="480" t="str">
        <f ca="1">OFFSET(Support!$A$3,1,MATCH($B$11,Support!$A$3:'Support'!$D$3,0)-1,1,1)</f>
        <v>NE</v>
      </c>
      <c r="E12" s="480" t="str">
        <f>IFERROR(IF(OR(B11="PVM moketojas - PVM neapmokestinama veikla (ne rangos darbai)",B11="Ne PVM moketojas - rangos darbai",B11="Ne PVM moketojas - ne rangos darbai"),"NE",IF(VLOOKUP(E27,'Darbu Sarasas'!$F$1:$H$53,3,FALSE)="Taikomas APVM","TAIP","NE")),"TAIP")</f>
        <v>NE</v>
      </c>
      <c r="F12" s="480" t="str">
        <f ca="1">OFFSET(Support!$A$3,1,MATCH($B$11,Support!$A$3:'Support'!$D$3,0)-1,1,1)</f>
        <v>NE</v>
      </c>
      <c r="G12" s="481" t="str">
        <f ca="1">OFFSET(Support!$A$3,1,MATCH($B$11,Support!$A$3:'Support'!$D$3,0)-1,1,1)</f>
        <v>NE</v>
      </c>
      <c r="H12" s="7"/>
      <c r="I12" s="428" t="str">
        <f>IF(OR(B12="TAIP",E12="TAIP")=TRUE,"TAIP","NE")</f>
        <v>TAIP</v>
      </c>
      <c r="J12" s="429"/>
      <c r="K12" s="430"/>
      <c r="L12" s="229"/>
      <c r="M12" s="7"/>
      <c r="N12" s="7"/>
      <c r="O12" s="55"/>
      <c r="P12" s="55"/>
      <c r="Q12" s="55"/>
      <c r="R12" s="55"/>
      <c r="S12" s="55"/>
      <c r="T12" s="55"/>
      <c r="U12" s="132"/>
      <c r="V12" s="132"/>
      <c r="W12" s="132"/>
      <c r="X12" s="132"/>
      <c r="Y12" s="132"/>
    </row>
    <row r="13" spans="1:25" hidden="1" x14ac:dyDescent="0.2">
      <c r="A13" s="232" t="s">
        <v>123</v>
      </c>
      <c r="B13" s="479" t="s">
        <v>124</v>
      </c>
      <c r="C13" s="479"/>
      <c r="D13" s="479"/>
      <c r="E13" s="479"/>
      <c r="F13" s="479"/>
      <c r="G13" s="479"/>
      <c r="H13" s="7"/>
      <c r="I13" s="13"/>
      <c r="J13" s="13"/>
      <c r="K13" s="13"/>
      <c r="L13" s="7"/>
      <c r="M13" s="7"/>
      <c r="N13" s="7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</row>
    <row r="14" spans="1:25" x14ac:dyDescent="0.2">
      <c r="A14" s="56"/>
      <c r="B14" s="29" t="str">
        <f ca="1">OFFSET(Support!$A$3,1,MATCH($B$11,Support!$A$3:'Support'!$D$3,0)-1,1,1)</f>
        <v>NE</v>
      </c>
      <c r="C14" s="29" t="str">
        <f ca="1">OFFSET(Support!$A$7,1,MATCH($D$15,Support!$A$7:'Support'!$B$7,0)-1,1,1)</f>
        <v>12 men. (1m.)</v>
      </c>
      <c r="D14" s="29">
        <f>Support!$D$7</f>
        <v>0.5</v>
      </c>
      <c r="E14" s="29"/>
      <c r="F14" s="29"/>
      <c r="G14" s="29"/>
      <c r="H14" s="56"/>
      <c r="I14" s="56"/>
      <c r="J14" s="56"/>
      <c r="K14" s="56"/>
      <c r="L14" s="29"/>
      <c r="M14" s="29"/>
      <c r="N14" s="29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</row>
    <row r="15" spans="1:25" x14ac:dyDescent="0.2">
      <c r="A15" s="56"/>
      <c r="B15" s="100" t="str">
        <f>IF(VLOOKUP(B11&amp;B12,Support!F3:'Support'!G10,2,FALSE)="OK","","KLAIDA: Atvirkštinį PVM galima rinktis tik tuo atveju, jei rangovas yra PVM mokėtojas")</f>
        <v/>
      </c>
      <c r="C15" s="101">
        <f>Support!D220/$B$28</f>
        <v>0.46226735749105363</v>
      </c>
      <c r="D15" s="102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E15" s="100"/>
      <c r="F15" s="100"/>
      <c r="G15" s="100"/>
      <c r="H15" s="56"/>
      <c r="I15" s="56"/>
      <c r="J15" s="56"/>
      <c r="K15" s="56"/>
      <c r="O15" s="55"/>
      <c r="P15" s="55"/>
      <c r="Q15" s="55"/>
      <c r="S15" s="55"/>
      <c r="T15" s="55"/>
      <c r="U15" s="55"/>
      <c r="V15" s="55"/>
      <c r="W15" s="55"/>
      <c r="X15" s="55"/>
      <c r="Y15" s="55"/>
    </row>
    <row r="16" spans="1:25" x14ac:dyDescent="0.2">
      <c r="A16" s="56"/>
      <c r="B16" s="100" t="str">
        <f>IF(VLOOKUP(B11&amp;E12,Support!F3:'Support'!G10,2,FALSE)="OK","","KLAIDA: Atvirkštinį PVM galima rinktis tik tuo atveju, jei rangovas yra PVM mokėtojas")</f>
        <v/>
      </c>
      <c r="C16" s="101"/>
      <c r="D16" s="100" t="str">
        <f>IF($B$35="Be issimokejimo termino","NE","TAIP")</f>
        <v>TAIP</v>
      </c>
      <c r="E16" s="100"/>
      <c r="F16" s="100"/>
      <c r="G16" s="100"/>
      <c r="H16" s="56"/>
      <c r="I16" s="56"/>
      <c r="J16" s="56"/>
      <c r="K16" s="56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</row>
    <row r="17" spans="1:25" hidden="1" x14ac:dyDescent="0.2">
      <c r="A17" s="56"/>
      <c r="B17" s="103"/>
      <c r="C17" s="103"/>
      <c r="D17" s="103"/>
      <c r="E17" s="103"/>
      <c r="F17" s="103"/>
      <c r="G17" s="103"/>
      <c r="H17" s="56"/>
      <c r="I17" s="56"/>
      <c r="J17" s="56"/>
      <c r="K17" s="56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</row>
    <row r="18" spans="1:25" hidden="1" x14ac:dyDescent="0.2">
      <c r="A18" s="56"/>
      <c r="B18" s="103"/>
      <c r="C18" s="103"/>
      <c r="D18" s="103"/>
      <c r="E18" s="103"/>
      <c r="F18" s="103"/>
      <c r="G18" s="103"/>
      <c r="H18" s="56"/>
      <c r="I18" s="56"/>
      <c r="J18" s="56"/>
      <c r="K18" s="56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</row>
    <row r="19" spans="1:25" hidden="1" x14ac:dyDescent="0.2">
      <c r="A19" s="56"/>
      <c r="B19" s="56"/>
      <c r="C19" s="56"/>
      <c r="D19" s="56"/>
      <c r="E19" s="56"/>
      <c r="F19" s="56"/>
      <c r="G19" s="56"/>
      <c r="H19" s="56"/>
      <c r="I19" s="66"/>
      <c r="J19" s="56"/>
      <c r="K19" s="56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</row>
    <row r="20" spans="1:25" hidden="1" x14ac:dyDescent="0.2">
      <c r="A20" s="233"/>
      <c r="B20" s="482" t="s">
        <v>125</v>
      </c>
      <c r="C20" s="482"/>
      <c r="D20" s="482"/>
      <c r="E20" s="482"/>
      <c r="F20" s="482"/>
      <c r="G20" s="483"/>
      <c r="H20" s="7"/>
      <c r="I20" s="354" t="s">
        <v>126</v>
      </c>
      <c r="J20" s="355"/>
      <c r="K20" s="356"/>
      <c r="L20" s="229"/>
      <c r="M20" s="7"/>
      <c r="N20" s="7"/>
      <c r="O20" s="55"/>
      <c r="P20" s="55"/>
      <c r="Q20" s="55"/>
      <c r="S20" s="55"/>
      <c r="T20" s="55"/>
      <c r="U20" s="55"/>
      <c r="V20" s="55"/>
      <c r="W20" s="55"/>
      <c r="X20" s="55"/>
      <c r="Y20" s="55"/>
    </row>
    <row r="21" spans="1:25" s="133" customFormat="1" hidden="1" x14ac:dyDescent="0.2">
      <c r="A21" s="234" t="s">
        <v>127</v>
      </c>
      <c r="B21" s="366" t="s">
        <v>74</v>
      </c>
      <c r="C21" s="366"/>
      <c r="D21" s="366"/>
      <c r="E21" s="366"/>
      <c r="F21" s="366"/>
      <c r="G21" s="376"/>
      <c r="H21" s="235"/>
      <c r="I21" s="434" t="str">
        <f>IF(B21=0,"",B21)</f>
        <v>UAB „Mano Bustas Siauliai“</v>
      </c>
      <c r="J21" s="435"/>
      <c r="K21" s="436"/>
      <c r="L21" s="236"/>
      <c r="M21" s="8"/>
      <c r="N21" s="8"/>
      <c r="O21" s="55"/>
      <c r="P21" s="55"/>
      <c r="Q21" s="55"/>
      <c r="R21" s="56"/>
      <c r="S21" s="55"/>
      <c r="T21" s="55"/>
      <c r="U21" s="132"/>
      <c r="V21" s="132"/>
      <c r="W21" s="132"/>
      <c r="X21" s="132"/>
      <c r="Y21" s="132"/>
    </row>
    <row r="22" spans="1:25" s="133" customFormat="1" hidden="1" x14ac:dyDescent="0.2">
      <c r="A22" s="234" t="s">
        <v>128</v>
      </c>
      <c r="B22" s="366" t="s">
        <v>333</v>
      </c>
      <c r="C22" s="366"/>
      <c r="D22" s="366"/>
      <c r="E22" s="366"/>
      <c r="F22" s="366"/>
      <c r="G22" s="376"/>
      <c r="H22" s="235"/>
      <c r="I22" s="434" t="str">
        <f>IF(B22=0,"",B22)</f>
        <v>Evelina Andrušaitienė</v>
      </c>
      <c r="J22" s="435"/>
      <c r="K22" s="436"/>
      <c r="L22" s="236"/>
      <c r="M22" s="8"/>
      <c r="N22" s="8"/>
      <c r="O22" s="55"/>
      <c r="P22" s="55"/>
      <c r="Q22" s="55"/>
      <c r="R22" s="55"/>
      <c r="S22" s="55"/>
      <c r="T22" s="55"/>
      <c r="U22" s="132"/>
      <c r="V22" s="132"/>
      <c r="W22" s="132"/>
      <c r="X22" s="132"/>
      <c r="Y22" s="132"/>
    </row>
    <row r="23" spans="1:25" s="133" customFormat="1" hidden="1" x14ac:dyDescent="0.2">
      <c r="A23" s="234" t="s">
        <v>129</v>
      </c>
      <c r="B23" s="366" t="s">
        <v>334</v>
      </c>
      <c r="C23" s="366"/>
      <c r="D23" s="366"/>
      <c r="E23" s="366"/>
      <c r="F23" s="366"/>
      <c r="G23" s="376"/>
      <c r="H23" s="235"/>
      <c r="I23" s="363" t="str">
        <f>IF(B23="","",B23)</f>
        <v>V22-2036604</v>
      </c>
      <c r="J23" s="504"/>
      <c r="K23" s="504"/>
      <c r="L23" s="236"/>
      <c r="M23" s="8"/>
      <c r="N23" s="8"/>
      <c r="O23" s="55"/>
      <c r="P23" s="55"/>
      <c r="Q23" s="55"/>
      <c r="R23" s="55"/>
      <c r="S23" s="55"/>
      <c r="T23" s="55"/>
      <c r="U23" s="132"/>
      <c r="V23" s="132"/>
      <c r="W23" s="132"/>
      <c r="X23" s="132"/>
      <c r="Y23" s="132"/>
    </row>
    <row r="24" spans="1:25" s="133" customFormat="1" hidden="1" x14ac:dyDescent="0.2">
      <c r="A24" s="234" t="s">
        <v>130</v>
      </c>
      <c r="B24" s="366" t="s">
        <v>335</v>
      </c>
      <c r="C24" s="366"/>
      <c r="D24" s="366"/>
      <c r="E24" s="366"/>
      <c r="F24" s="366"/>
      <c r="G24" s="376"/>
      <c r="H24" s="235"/>
      <c r="I24" s="434" t="str">
        <f>IF(B24=0,"",B24)</f>
        <v>Namo administratorius</v>
      </c>
      <c r="J24" s="435"/>
      <c r="K24" s="436"/>
      <c r="L24" s="236"/>
      <c r="M24" s="8"/>
      <c r="N24" s="8"/>
      <c r="O24" s="55"/>
      <c r="P24" s="55"/>
      <c r="Q24" s="55"/>
      <c r="R24" s="55"/>
      <c r="S24" s="55"/>
      <c r="T24" s="55"/>
      <c r="U24" s="132"/>
      <c r="V24" s="132"/>
      <c r="W24" s="132"/>
      <c r="X24" s="132"/>
      <c r="Y24" s="132"/>
    </row>
    <row r="25" spans="1:25" s="133" customFormat="1" hidden="1" x14ac:dyDescent="0.2">
      <c r="A25" s="234" t="s">
        <v>131</v>
      </c>
      <c r="B25" s="366" t="s">
        <v>336</v>
      </c>
      <c r="C25" s="366"/>
      <c r="D25" s="366"/>
      <c r="E25" s="366"/>
      <c r="F25" s="366"/>
      <c r="G25" s="376"/>
      <c r="H25" s="235"/>
      <c r="I25" s="434" t="str">
        <f>IF(B25=0,"",B25)</f>
        <v>Poilsio g. 11A, Aukštelkės k.</v>
      </c>
      <c r="J25" s="435"/>
      <c r="K25" s="436"/>
      <c r="L25" s="236"/>
      <c r="M25" s="8"/>
      <c r="N25" s="8"/>
      <c r="O25" s="65"/>
      <c r="P25" s="55"/>
      <c r="Q25" s="55"/>
      <c r="R25" s="55"/>
      <c r="S25" s="55"/>
      <c r="T25" s="55"/>
      <c r="U25" s="132"/>
      <c r="V25" s="132"/>
      <c r="W25" s="132"/>
      <c r="X25" s="132"/>
      <c r="Y25" s="132"/>
    </row>
    <row r="26" spans="1:25" s="133" customFormat="1" hidden="1" x14ac:dyDescent="0.2">
      <c r="A26" s="234" t="s">
        <v>132</v>
      </c>
      <c r="B26" s="436" t="str">
        <f>IF(B27="Pasirinkti darbo tipą","",VLOOKUP(B27,'Darbu Sarasas'!$F$1:$G$55,2,FALSE))</f>
        <v>Išorės sienos (fasadai)</v>
      </c>
      <c r="C26" s="505"/>
      <c r="D26" s="506"/>
      <c r="E26" s="505" t="str">
        <f>IF(E27="Pasirinkti darbo tipą","",VLOOKUP(E27,'Darbu Sarasas'!$F$1:$G$53,2,FALSE))</f>
        <v/>
      </c>
      <c r="F26" s="505"/>
      <c r="G26" s="507"/>
      <c r="H26" s="235"/>
      <c r="I26" s="377" t="str">
        <f>B26</f>
        <v>Išorės sienos (fasadai)</v>
      </c>
      <c r="J26" s="378"/>
      <c r="K26" s="378"/>
      <c r="L26" s="236"/>
      <c r="M26" s="8"/>
      <c r="N26" s="8"/>
      <c r="O26" s="55"/>
      <c r="P26" s="55"/>
      <c r="Q26" s="55"/>
      <c r="R26" s="55"/>
      <c r="S26" s="55"/>
      <c r="T26" s="55"/>
      <c r="U26" s="132"/>
      <c r="V26" s="132"/>
      <c r="W26" s="132"/>
      <c r="X26" s="132"/>
      <c r="Y26" s="132"/>
    </row>
    <row r="27" spans="1:25" s="133" customFormat="1" ht="10.15" hidden="1" customHeight="1" x14ac:dyDescent="0.2">
      <c r="A27" s="234" t="s">
        <v>133</v>
      </c>
      <c r="B27" s="492" t="s">
        <v>231</v>
      </c>
      <c r="C27" s="465"/>
      <c r="D27" s="493"/>
      <c r="E27" s="465" t="s">
        <v>134</v>
      </c>
      <c r="F27" s="465"/>
      <c r="G27" s="466"/>
      <c r="H27" s="235"/>
      <c r="I27" s="377" t="str">
        <f>IF(B27="","",B27)</f>
        <v>Fasado mūro sienų atstatymas</v>
      </c>
      <c r="J27" s="378"/>
      <c r="K27" s="379"/>
      <c r="L27" s="236"/>
      <c r="M27" s="8"/>
      <c r="N27" s="8"/>
      <c r="O27" s="55"/>
      <c r="P27" s="55"/>
      <c r="Q27" s="55"/>
      <c r="R27" s="55"/>
      <c r="S27" s="55"/>
      <c r="T27" s="55"/>
      <c r="U27" s="132"/>
      <c r="V27" s="132"/>
      <c r="W27" s="132"/>
      <c r="X27" s="132"/>
      <c r="Y27" s="132"/>
    </row>
    <row r="28" spans="1:25" s="133" customFormat="1" hidden="1" x14ac:dyDescent="0.2">
      <c r="A28" s="237" t="s">
        <v>135</v>
      </c>
      <c r="B28" s="490">
        <v>709.78</v>
      </c>
      <c r="C28" s="490"/>
      <c r="D28" s="490"/>
      <c r="E28" s="490"/>
      <c r="F28" s="490"/>
      <c r="G28" s="491"/>
      <c r="H28" s="235"/>
      <c r="I28" s="431">
        <f>B28</f>
        <v>709.78</v>
      </c>
      <c r="J28" s="432"/>
      <c r="K28" s="433"/>
      <c r="L28" s="236"/>
      <c r="M28" s="8"/>
      <c r="N28" s="8"/>
      <c r="O28" s="55"/>
      <c r="P28" s="55"/>
      <c r="Q28" s="55"/>
      <c r="R28" s="55"/>
      <c r="S28" s="55"/>
      <c r="T28" s="55"/>
      <c r="U28" s="132"/>
      <c r="V28" s="132"/>
      <c r="W28" s="132"/>
      <c r="X28" s="132"/>
      <c r="Y28" s="132"/>
    </row>
    <row r="29" spans="1:25" s="131" customFormat="1" hidden="1" x14ac:dyDescent="0.2">
      <c r="A29" s="238" t="s">
        <v>136</v>
      </c>
      <c r="B29" s="490"/>
      <c r="C29" s="490"/>
      <c r="D29" s="490"/>
      <c r="E29" s="490"/>
      <c r="F29" s="490"/>
      <c r="G29" s="491"/>
      <c r="H29" s="239"/>
      <c r="I29" s="431">
        <f t="shared" ref="I29:I35" si="0">B29</f>
        <v>0</v>
      </c>
      <c r="J29" s="432"/>
      <c r="K29" s="433"/>
      <c r="L29" s="229"/>
      <c r="M29" s="7"/>
      <c r="N29" s="7"/>
      <c r="O29" s="55"/>
      <c r="P29" s="55"/>
      <c r="Q29" s="55"/>
      <c r="R29" s="55"/>
      <c r="S29" s="55"/>
      <c r="T29" s="55"/>
      <c r="U29" s="132"/>
      <c r="V29" s="132"/>
      <c r="W29" s="132"/>
      <c r="X29" s="132"/>
      <c r="Y29" s="132"/>
    </row>
    <row r="30" spans="1:25" s="131" customFormat="1" hidden="1" x14ac:dyDescent="0.2">
      <c r="A30" s="237" t="s">
        <v>137</v>
      </c>
      <c r="B30" s="469">
        <v>28</v>
      </c>
      <c r="C30" s="469"/>
      <c r="D30" s="469"/>
      <c r="E30" s="469"/>
      <c r="F30" s="469"/>
      <c r="G30" s="470"/>
      <c r="H30" s="239"/>
      <c r="I30" s="434">
        <f>IF(B30=0,"",B30)</f>
        <v>28</v>
      </c>
      <c r="J30" s="435"/>
      <c r="K30" s="436"/>
      <c r="L30" s="229"/>
      <c r="M30" s="7"/>
      <c r="N30" s="7"/>
      <c r="O30" s="55"/>
      <c r="P30" s="55"/>
      <c r="Q30" s="55"/>
      <c r="R30" s="55"/>
      <c r="S30" s="55"/>
      <c r="T30" s="55"/>
      <c r="U30" s="132"/>
      <c r="V30" s="132"/>
      <c r="W30" s="132"/>
      <c r="X30" s="132"/>
      <c r="Y30" s="132"/>
    </row>
    <row r="31" spans="1:25" s="131" customFormat="1" hidden="1" x14ac:dyDescent="0.2">
      <c r="A31" s="240" t="str">
        <f>IF(B5="NE","Panaudojamos kaupiamosios lėšos ir kitos iš anksto sumokamos sumos, Eur", "Panaudojama kaupiamųjų lėšų suma")</f>
        <v>Panaudojama kaupiamųjų lėšų suma</v>
      </c>
      <c r="B31" s="366">
        <v>0</v>
      </c>
      <c r="C31" s="366"/>
      <c r="D31" s="366"/>
      <c r="E31" s="366"/>
      <c r="F31" s="366"/>
      <c r="G31" s="376"/>
      <c r="H31" s="239"/>
      <c r="I31" s="434" t="str">
        <f>IF(B31=0,"",B31)</f>
        <v/>
      </c>
      <c r="J31" s="435"/>
      <c r="K31" s="436"/>
      <c r="L31" s="229"/>
      <c r="M31" s="7"/>
      <c r="N31" s="7"/>
      <c r="O31" s="55"/>
      <c r="P31" s="55"/>
      <c r="Q31" s="55"/>
      <c r="R31" s="55"/>
      <c r="S31" s="55"/>
      <c r="T31" s="55"/>
      <c r="U31" s="132"/>
      <c r="V31" s="132"/>
      <c r="W31" s="132"/>
      <c r="X31" s="132"/>
      <c r="Y31" s="132"/>
    </row>
    <row r="32" spans="1:25" s="131" customFormat="1" hidden="1" x14ac:dyDescent="0.2">
      <c r="A32" s="241" t="s">
        <v>138</v>
      </c>
      <c r="B32" s="366">
        <v>0</v>
      </c>
      <c r="C32" s="366"/>
      <c r="D32" s="366"/>
      <c r="E32" s="366"/>
      <c r="F32" s="366"/>
      <c r="G32" s="376"/>
      <c r="H32" s="239"/>
      <c r="I32" s="434" t="str">
        <f>IF(B32=0,"",B32)</f>
        <v/>
      </c>
      <c r="J32" s="435"/>
      <c r="K32" s="436"/>
      <c r="L32" s="229"/>
      <c r="M32" s="7"/>
      <c r="N32" s="7"/>
      <c r="O32" s="55"/>
      <c r="P32" s="55"/>
      <c r="Q32" s="55"/>
      <c r="R32" s="55"/>
      <c r="S32" s="55"/>
      <c r="T32" s="55"/>
      <c r="U32" s="132"/>
      <c r="V32" s="132"/>
      <c r="W32" s="132"/>
      <c r="X32" s="132"/>
      <c r="Y32" s="132"/>
    </row>
    <row r="33" spans="1:25" hidden="1" x14ac:dyDescent="0.2">
      <c r="A33" s="104" t="s">
        <v>139</v>
      </c>
      <c r="B33" s="446">
        <v>1.5</v>
      </c>
      <c r="C33" s="446"/>
      <c r="D33" s="446"/>
      <c r="E33" s="446"/>
      <c r="F33" s="446"/>
      <c r="G33" s="451"/>
      <c r="H33" s="239"/>
      <c r="I33" s="445">
        <f t="shared" si="0"/>
        <v>1.5</v>
      </c>
      <c r="J33" s="446"/>
      <c r="K33" s="447"/>
      <c r="L33" s="229"/>
      <c r="M33" s="7"/>
      <c r="N33" s="7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</row>
    <row r="34" spans="1:25" hidden="1" x14ac:dyDescent="0.2">
      <c r="A34" s="104" t="s">
        <v>81</v>
      </c>
      <c r="B34" s="305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C34" s="305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D34" s="305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E34" s="305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F34" s="305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G34" s="450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H34" s="239"/>
      <c r="I34" s="448" t="str">
        <f t="shared" si="0"/>
        <v>TAIP</v>
      </c>
      <c r="J34" s="305"/>
      <c r="K34" s="449"/>
      <c r="L34" s="229"/>
      <c r="M34" s="7"/>
      <c r="N34" s="7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</row>
    <row r="35" spans="1:25" hidden="1" x14ac:dyDescent="0.2">
      <c r="A35" s="237" t="s">
        <v>140</v>
      </c>
      <c r="B35" s="435" t="s">
        <v>27</v>
      </c>
      <c r="C35" s="435" t="str">
        <f ca="1">OFFSET(Support!$A$7,1,MATCH($D$15,Support!$A$7:'Support'!$B$7,0)-1,1,1)</f>
        <v>12 men. (1m.)</v>
      </c>
      <c r="D35" s="435" t="str">
        <f ca="1">OFFSET(Support!$A$7,1,MATCH($D$15,Support!$A$7:'Support'!$B$7,0)-1,1,1)</f>
        <v>12 men. (1m.)</v>
      </c>
      <c r="E35" s="435" t="str">
        <f ca="1">OFFSET(Support!$A$7,1,MATCH($D$15,Support!$A$7:'Support'!$B$7,0)-1,1,1)</f>
        <v>12 men. (1m.)</v>
      </c>
      <c r="F35" s="435" t="str">
        <f ca="1">OFFSET(Support!$A$7,1,MATCH($D$15,Support!$A$7:'Support'!$B$7,0)-1,1,1)</f>
        <v>12 men. (1m.)</v>
      </c>
      <c r="G35" s="495" t="str">
        <f ca="1">OFFSET(Support!$A$7,1,MATCH($D$15,Support!$A$7:'Support'!$B$7,0)-1,1,1)</f>
        <v>12 men. (1m.)</v>
      </c>
      <c r="H35" s="239"/>
      <c r="I35" s="434" t="str">
        <f t="shared" si="0"/>
        <v>48 men. (4m.)</v>
      </c>
      <c r="J35" s="435"/>
      <c r="K35" s="436"/>
      <c r="L35" s="229"/>
      <c r="M35" s="7"/>
      <c r="N35" s="7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</row>
    <row r="36" spans="1:25" hidden="1" x14ac:dyDescent="0.2">
      <c r="A36" s="242" t="s">
        <v>141</v>
      </c>
      <c r="B36" s="414">
        <v>0.59040000000000004</v>
      </c>
      <c r="C36" s="414"/>
      <c r="D36" s="414"/>
      <c r="E36" s="414"/>
      <c r="F36" s="414"/>
      <c r="G36" s="415"/>
      <c r="H36" s="7"/>
      <c r="I36" s="342">
        <f>IF(B36="","",B36)</f>
        <v>0.59040000000000004</v>
      </c>
      <c r="J36" s="343"/>
      <c r="K36" s="343"/>
      <c r="L36" s="229"/>
      <c r="M36" s="7"/>
      <c r="N36" s="7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</row>
    <row r="37" spans="1:25" hidden="1" x14ac:dyDescent="0.2">
      <c r="A37" s="237" t="s">
        <v>142</v>
      </c>
      <c r="B37" s="454">
        <f>VLOOKUP(B35,Support!A18:'Support'!G25,7,0)</f>
        <v>0.19448203394884239</v>
      </c>
      <c r="C37" s="454"/>
      <c r="D37" s="454"/>
      <c r="E37" s="454"/>
      <c r="F37" s="454"/>
      <c r="G37" s="471"/>
      <c r="H37" s="7"/>
      <c r="I37" s="453">
        <f>B37</f>
        <v>0.19448203394884239</v>
      </c>
      <c r="J37" s="454"/>
      <c r="K37" s="455"/>
      <c r="L37" s="229"/>
      <c r="M37" s="7"/>
      <c r="N37" s="7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</row>
    <row r="38" spans="1:25" hidden="1" x14ac:dyDescent="0.2">
      <c r="A38" s="243" t="s">
        <v>143</v>
      </c>
      <c r="B38" s="330">
        <f>SUM(B72:G72)</f>
        <v>3000.15</v>
      </c>
      <c r="C38" s="330"/>
      <c r="D38" s="330"/>
      <c r="E38" s="330"/>
      <c r="F38" s="330"/>
      <c r="G38" s="331"/>
      <c r="H38" s="7"/>
      <c r="I38" s="377">
        <f>B38</f>
        <v>3000.15</v>
      </c>
      <c r="J38" s="378"/>
      <c r="K38" s="378"/>
      <c r="L38" s="229"/>
      <c r="M38" s="7"/>
      <c r="N38" s="7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</row>
    <row r="39" spans="1:25" hidden="1" x14ac:dyDescent="0.2">
      <c r="A39" s="237" t="s">
        <v>144</v>
      </c>
      <c r="B39" s="452" t="str">
        <f>IFERROR(IF('Darbu Sarasas'!$N$4="NE",VLOOKUP(Paraiska!$B$27,'Darbu Sarasas'!$F$2:$I$55,4,FALSE),IF('Darbu Sarasas'!$N$4="TAIP",VLOOKUP($B$52,Support!$N$35:$O$37,2,FALSE),"NE")),"NE")</f>
        <v>TAIP</v>
      </c>
      <c r="C39" s="378"/>
      <c r="D39" s="378"/>
      <c r="E39" s="452" t="str">
        <f>IF($E$27=Support!$AA$3,"NE",IF(OR($E$52=Support!$O$3,Paraiska!$E$52=Support!$O$4,Support!$AE$3="TAIP"),VLOOKUP(Paraiska!$E$27,'Darbu Sarasas'!$F$2:$I$55,4,FALSE),IF(Paraiska!$E$52=Support!$O$5,"NE","")))</f>
        <v>NE</v>
      </c>
      <c r="F39" s="378"/>
      <c r="G39" s="379"/>
      <c r="H39" s="7"/>
      <c r="I39" s="329" t="str">
        <f>IF(OR(B39="TAIP",E39="TAIP")=TRUE,"TAIP","NE")</f>
        <v>TAIP</v>
      </c>
      <c r="J39" s="330"/>
      <c r="K39" s="452"/>
      <c r="L39" s="229"/>
      <c r="M39" s="7"/>
      <c r="N39" s="7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</row>
    <row r="40" spans="1:25" s="131" customFormat="1" hidden="1" x14ac:dyDescent="0.2">
      <c r="A40" s="244" t="s">
        <v>145</v>
      </c>
      <c r="B40" s="330">
        <f>ROUND(IF(B39="TAIP",B58*VLOOKUP(B35,Support!A18:'Support'!H25,8,0),0),2)</f>
        <v>520.63</v>
      </c>
      <c r="C40" s="330"/>
      <c r="D40" s="330"/>
      <c r="E40" s="452">
        <f>ROUND(IF(E39="TAIP",E58*VLOOKUP(B35,Support!A18:'Support'!H25,8,0),0),2)</f>
        <v>0</v>
      </c>
      <c r="F40" s="378"/>
      <c r="G40" s="379"/>
      <c r="H40" s="239"/>
      <c r="I40" s="329">
        <f>SUM(B40,E40)</f>
        <v>520.63</v>
      </c>
      <c r="J40" s="330"/>
      <c r="K40" s="452"/>
      <c r="L40" s="229"/>
      <c r="M40" s="7"/>
      <c r="N40" s="7"/>
      <c r="O40" s="55"/>
      <c r="P40" s="55"/>
      <c r="Q40" s="55"/>
      <c r="R40" s="55"/>
      <c r="S40" s="55"/>
      <c r="T40" s="55"/>
      <c r="U40" s="132"/>
      <c r="V40" s="132"/>
      <c r="W40" s="132"/>
      <c r="X40" s="132"/>
      <c r="Y40" s="132"/>
    </row>
    <row r="41" spans="1:25" s="131" customFormat="1" ht="22.5" hidden="1" x14ac:dyDescent="0.2">
      <c r="A41" s="245" t="s">
        <v>146</v>
      </c>
      <c r="B41" s="496" t="s">
        <v>7</v>
      </c>
      <c r="C41" s="497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D41" s="497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E41" s="497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F41" s="497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G41" s="498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H41" s="239"/>
      <c r="I41" s="377" t="str">
        <f>B41</f>
        <v>NE</v>
      </c>
      <c r="J41" s="378"/>
      <c r="K41" s="379"/>
      <c r="L41" s="484" t="str">
        <f>IF(AND(B41="TAIP",B34="TAIP"),"Netaikyti išsimokėjimo (klientų pageidavimu) negalima, nes Prognozuojama Rangovo siūloma suma ir/ar Objekto nemokumas neatitinka sąlygų.","")</f>
        <v/>
      </c>
      <c r="M41" s="485"/>
      <c r="N41" s="485"/>
      <c r="O41" s="485"/>
      <c r="P41" s="485"/>
      <c r="Q41" s="485"/>
      <c r="R41" s="485"/>
      <c r="S41" s="485"/>
      <c r="T41" s="485"/>
      <c r="U41" s="132"/>
      <c r="V41" s="132"/>
      <c r="W41" s="132"/>
      <c r="X41" s="132"/>
      <c r="Y41" s="132"/>
    </row>
    <row r="42" spans="1:25" s="131" customFormat="1" ht="22.5" hidden="1" x14ac:dyDescent="0.2">
      <c r="A42" s="245" t="s">
        <v>147</v>
      </c>
      <c r="B42" s="496" t="s">
        <v>7</v>
      </c>
      <c r="C42" s="497"/>
      <c r="D42" s="497"/>
      <c r="E42" s="497"/>
      <c r="F42" s="497"/>
      <c r="G42" s="498"/>
      <c r="H42" s="239"/>
      <c r="I42" s="329" t="str">
        <f>B42</f>
        <v>NE</v>
      </c>
      <c r="J42" s="435"/>
      <c r="K42" s="436"/>
      <c r="L42" s="229"/>
      <c r="M42" s="7"/>
      <c r="N42" s="7"/>
      <c r="O42" s="55"/>
      <c r="P42" s="55"/>
      <c r="Q42" s="55"/>
      <c r="R42" s="55"/>
      <c r="S42" s="55"/>
      <c r="T42" s="55"/>
      <c r="U42" s="132"/>
      <c r="V42" s="132"/>
      <c r="W42" s="132"/>
      <c r="X42" s="132"/>
      <c r="Y42" s="132"/>
    </row>
    <row r="43" spans="1:25" ht="15" hidden="1" customHeight="1" thickBot="1" x14ac:dyDescent="0.25">
      <c r="A43" s="246" t="s">
        <v>148</v>
      </c>
      <c r="B43" s="499" t="str">
        <f>IF(Support!B181="TAIP",IF(B41="TAIP","TAIP, inicijuokite sutrumpintą DVS procesą",IF(OR(B36&gt;0.1,D105&gt;0.5,D107&gt;50,B42="TAIP",Support!E254&gt;0),"TAIP, inicijuokite pilną DVS procesą","TAIP, inicijuokite sutrumpintą DVS procesą")),"NE, nereikia inicijuoti DVS proceso")</f>
        <v>TAIP, inicijuokite pilną DVS procesą</v>
      </c>
      <c r="C43" s="489"/>
      <c r="D43" s="489"/>
      <c r="E43" s="489"/>
      <c r="F43" s="489"/>
      <c r="G43" s="500"/>
      <c r="H43" s="7"/>
      <c r="I43" s="488" t="str">
        <f>B43</f>
        <v>TAIP, inicijuokite pilną DVS procesą</v>
      </c>
      <c r="J43" s="489"/>
      <c r="K43" s="489"/>
      <c r="L43" s="229"/>
      <c r="M43" s="7"/>
      <c r="N43" s="7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</row>
    <row r="44" spans="1:25" hidden="1" x14ac:dyDescent="0.2">
      <c r="A44" s="7"/>
      <c r="B44" s="8"/>
      <c r="C44" s="8"/>
      <c r="D44" s="8"/>
      <c r="E44" s="8"/>
      <c r="F44" s="8"/>
      <c r="G44" s="8"/>
      <c r="H44" s="8"/>
      <c r="I44" s="8"/>
      <c r="J44" s="8"/>
      <c r="K44" s="8"/>
      <c r="L44" s="7"/>
      <c r="M44" s="7"/>
      <c r="N44" s="7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</row>
    <row r="45" spans="1:25" hidden="1" x14ac:dyDescent="0.2">
      <c r="B45" s="105" t="str">
        <f>IF(B34="NE","Išsimokėjimas nesuteikiamas, klientams už darbą priskaitoma per vieną mėnesį.","Išsimokėjimo terminas paskaičiuojamas automatiškai, optimizuojant pardavimo kainą.")</f>
        <v>Išsimokėjimo terminas paskaičiuojamas automatiškai, optimizuojant pardavimo kainą.</v>
      </c>
      <c r="C45" s="56"/>
      <c r="D45" s="56"/>
      <c r="E45" s="56"/>
      <c r="F45" s="56"/>
      <c r="G45" s="56"/>
      <c r="H45" s="56"/>
      <c r="I45" s="56"/>
      <c r="J45" s="56"/>
      <c r="K45" s="56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</row>
    <row r="46" spans="1:25" hidden="1" x14ac:dyDescent="0.2">
      <c r="B46" s="67" t="str">
        <f>IF(VLOOKUP(B35,Support!A18:'Support'!I25,9,0)=B34,"","KLAIDA: NETINKAMA REIKŠMĖ. Patikslinkite išsimokėjimo terminą")</f>
        <v/>
      </c>
      <c r="C46" s="106"/>
      <c r="D46" s="56"/>
      <c r="E46" s="56"/>
      <c r="F46" s="56"/>
      <c r="G46" s="56"/>
      <c r="H46" s="56"/>
      <c r="I46" s="56"/>
      <c r="J46" s="56"/>
      <c r="K46" s="56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</row>
    <row r="47" spans="1:25" hidden="1" x14ac:dyDescent="0.2">
      <c r="B47" s="67" t="str">
        <f>IF(OR(B15="KLAIDA: Atvirkštinį PVM galima rinktis tik tuo atveju, jei rangovas yra PVM mokėtojas",B16="KLAIDA: Atvirkštinį PVM galima rinktis tik tuo atveju, jei rangovas yra PVM mokėtojas",B46="KLAIDA: NETINKAMA REIKŠMĖ. Patikslinkite išsimokėjimo terminą")=TRUE,"FORMOJE YRA KLAIDŲ, PRAŠOME PATIKRINTI ĮVESTAS REIKŠMES","")</f>
        <v/>
      </c>
      <c r="C47" s="56"/>
      <c r="D47" s="56"/>
      <c r="E47" s="56"/>
      <c r="F47" s="56"/>
      <c r="G47" s="56"/>
      <c r="H47" s="56"/>
      <c r="I47" s="67"/>
      <c r="J47" s="56"/>
      <c r="K47" s="56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</row>
    <row r="48" spans="1:25" s="29" customFormat="1" hidden="1" x14ac:dyDescent="0.2">
      <c r="A48" s="17"/>
      <c r="B48" s="67" t="str">
        <f>IF(B36&lt;=10%,"","Darbų finansavimas išsimokėtinai nėra galimas. Nemokumas didesnis kaip 10 proc.")</f>
        <v>Darbų finansavimas išsimokėtinai nėra galimas. Nemokumas didesnis kaip 10 proc.</v>
      </c>
      <c r="C48" s="56"/>
      <c r="D48" s="56"/>
      <c r="E48" s="56"/>
      <c r="F48" s="56"/>
      <c r="G48" s="56"/>
      <c r="H48" s="56"/>
      <c r="I48" s="67"/>
      <c r="J48" s="56"/>
      <c r="K48" s="56"/>
      <c r="L48" s="17"/>
      <c r="M48" s="17"/>
      <c r="N48" s="17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</row>
    <row r="49" spans="1:30" hidden="1" x14ac:dyDescent="0.2">
      <c r="A49" s="29"/>
      <c r="B49" s="107"/>
      <c r="C49" s="56"/>
      <c r="D49" s="56"/>
      <c r="E49" s="56"/>
      <c r="F49" s="56"/>
      <c r="G49" s="56"/>
      <c r="H49" s="56"/>
      <c r="I49" s="67"/>
      <c r="J49" s="56"/>
      <c r="K49" s="56"/>
      <c r="L49" s="29"/>
      <c r="M49" s="29"/>
      <c r="N49" s="29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</row>
    <row r="50" spans="1:30" hidden="1" x14ac:dyDescent="0.2">
      <c r="A50" s="29"/>
      <c r="B50" s="107"/>
      <c r="C50" s="56"/>
      <c r="D50" s="56"/>
      <c r="E50" s="56"/>
      <c r="F50" s="56"/>
      <c r="G50" s="56"/>
      <c r="H50" s="56"/>
      <c r="I50" s="67"/>
      <c r="J50" s="56"/>
      <c r="K50" s="56"/>
      <c r="L50" s="29"/>
      <c r="M50" s="29"/>
      <c r="N50" s="29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</row>
    <row r="51" spans="1:30" hidden="1" x14ac:dyDescent="0.2">
      <c r="A51" s="29"/>
      <c r="B51" s="107"/>
      <c r="C51" s="56"/>
      <c r="D51" s="56"/>
      <c r="E51" s="57"/>
      <c r="F51" s="56"/>
      <c r="G51" s="56"/>
      <c r="H51" s="56"/>
      <c r="I51" s="67"/>
      <c r="J51" s="56"/>
      <c r="K51" s="56"/>
      <c r="L51" s="29"/>
      <c r="M51" s="29"/>
      <c r="N51" s="29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</row>
    <row r="52" spans="1:30" hidden="1" x14ac:dyDescent="0.2">
      <c r="A52" s="202" t="s">
        <v>322</v>
      </c>
      <c r="B52" s="472" t="s">
        <v>320</v>
      </c>
      <c r="C52" s="473"/>
      <c r="D52" s="474"/>
      <c r="E52" s="475" t="s">
        <v>319</v>
      </c>
      <c r="F52" s="476"/>
      <c r="G52" s="477"/>
      <c r="H52" s="56"/>
      <c r="I52" s="67"/>
      <c r="J52" s="56"/>
      <c r="K52" s="56"/>
      <c r="L52" s="29"/>
      <c r="M52" s="29"/>
      <c r="N52" s="29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</row>
    <row r="53" spans="1:30" hidden="1" x14ac:dyDescent="0.2">
      <c r="A53" s="200" t="s">
        <v>330</v>
      </c>
      <c r="B53" s="501">
        <f>IF(B9=0,0,IF(OR($B$11="PVM moketojas",$B$11="PVM moketojas - PVM neapmokestinama veikla (ne rangos darbai)"),$B$71+$B$65,0))</f>
        <v>0</v>
      </c>
      <c r="C53" s="502"/>
      <c r="D53" s="503"/>
      <c r="E53" s="501">
        <f>IF(E9=0,0,IF(OR($B$11="PVM moketojas",$B$11="PVM moketojas - PVM neapmokestinama veikla (ne rangos darbai)"),$E$90+$E$71+$E$65,$E$90))</f>
        <v>0</v>
      </c>
      <c r="F53" s="502"/>
      <c r="G53" s="503"/>
      <c r="H53" s="56"/>
      <c r="I53" s="508">
        <f>SUM(B53,E53)</f>
        <v>0</v>
      </c>
      <c r="J53" s="509"/>
      <c r="K53" s="509"/>
      <c r="L53" s="29"/>
      <c r="M53" s="29"/>
      <c r="N53" s="29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</row>
    <row r="54" spans="1:30" hidden="1" x14ac:dyDescent="0.2">
      <c r="B54" s="57"/>
      <c r="C54" s="56"/>
      <c r="D54" s="56"/>
      <c r="E54" s="56"/>
      <c r="F54" s="56"/>
      <c r="G54" s="56"/>
      <c r="H54" s="56"/>
      <c r="J54" s="56"/>
      <c r="K54" s="56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</row>
    <row r="55" spans="1:30" hidden="1" x14ac:dyDescent="0.2">
      <c r="A55" s="247"/>
      <c r="B55" s="494" t="s">
        <v>82</v>
      </c>
      <c r="C55" s="494"/>
      <c r="D55" s="494"/>
      <c r="E55" s="494"/>
      <c r="F55" s="494"/>
      <c r="G55" s="494"/>
      <c r="H55" s="224"/>
      <c r="I55" s="486" t="s">
        <v>82</v>
      </c>
      <c r="J55" s="486"/>
      <c r="K55" s="486"/>
      <c r="L55" s="248"/>
      <c r="M55" s="224"/>
      <c r="N55" s="224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</row>
    <row r="56" spans="1:30" hidden="1" x14ac:dyDescent="0.2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</row>
    <row r="57" spans="1:30" hidden="1" x14ac:dyDescent="0.2">
      <c r="A57" s="249"/>
      <c r="B57" s="399" t="s">
        <v>83</v>
      </c>
      <c r="C57" s="399"/>
      <c r="D57" s="399"/>
      <c r="E57" s="399"/>
      <c r="F57" s="399"/>
      <c r="G57" s="400"/>
      <c r="H57" s="7"/>
      <c r="I57" s="360" t="s">
        <v>150</v>
      </c>
      <c r="J57" s="361"/>
      <c r="K57" s="362"/>
      <c r="L57" s="229"/>
      <c r="M57" s="7"/>
      <c r="N57" s="7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</row>
    <row r="58" spans="1:30" hidden="1" x14ac:dyDescent="0.2">
      <c r="A58" s="250" t="s">
        <v>84</v>
      </c>
      <c r="B58" s="393">
        <f>IF(OR(AND(Paraiska!B6 = 1, Paraiska!B9=""),AND(Paraiska!B6 = 2, Paraiska!B9="", Paraiska!E9="")),IF(B47="FORMOJE YRA KLAIDŲ, PRAŠOME PATIKRINTI ĮVESTAS REIKŠMES",0,IF(OR(B11="PVM moketojas",B11="PVM moketojas - PVM neapmokestinama veikla (ne rangos darbai)")=TRUE,B10+Support!B65+B70,B10+Support!D65+B72)),IF(B47="FORMOJE YRA KLAIDŲ, PRAŠOME PATIKRINTI ĮVESTAS REIKŠMES",0,IF(OR(B11="PVM moketojas",B11="PVM moketojas - PVM neapmokestinama veikla (ne rangos darbai)")=TRUE,B9+Support!B65+B70,B9+Support!D65+B72)))</f>
        <v>13015.86</v>
      </c>
      <c r="C58" s="393"/>
      <c r="D58" s="393"/>
      <c r="E58" s="393">
        <f>IF(OR(AND(Paraiska!B6 = 1, Paraiska!B9=""),AND(Paraiska!B6 = 2, Paraiska!B9="", Paraiska!E9="")),IF(B47="FORMOJE YRA KLAIDŲ, PRAŠOME PATIKRINTI ĮVESTAS REIKŠMES",0,IF(OR(B11="PVM moketojas",B11="PVM moketojas - PVM neapmokestinama veikla (ne rangos darbai)")=TRUE,E10+Support!B86+E70,E10+Support!D86+E72)),IF(B47="FORMOJE YRA KLAIDŲ, PRAŠOME PATIKRINTI ĮVESTAS REIKŠMES",0,IF(OR(B11="PVM moketojas",B11="PVM moketojas - PVM neapmokestinama veikla (ne rangos darbai)")=TRUE,E9+Support!B86+E70,E9+Support!D86+E72)))</f>
        <v>0</v>
      </c>
      <c r="F58" s="393"/>
      <c r="G58" s="394"/>
      <c r="H58" s="7"/>
      <c r="I58" s="345">
        <f>SUM(B58:G58)</f>
        <v>13015.86</v>
      </c>
      <c r="J58" s="346"/>
      <c r="K58" s="346"/>
      <c r="L58" s="229"/>
      <c r="M58" s="7"/>
      <c r="N58" s="7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6"/>
    </row>
    <row r="59" spans="1:30" ht="12" hidden="1" thickBot="1" x14ac:dyDescent="0.25">
      <c r="A59" s="251" t="s">
        <v>52</v>
      </c>
      <c r="B59" s="396">
        <f>ROUND(IF(B11="PVM moketojas",B58*0.21,0),2)</f>
        <v>2733.33</v>
      </c>
      <c r="C59" s="396"/>
      <c r="D59" s="396"/>
      <c r="E59" s="396">
        <f>ROUND(IF(B11="PVM moketojas",E58*0.21,0),2)</f>
        <v>0</v>
      </c>
      <c r="F59" s="396"/>
      <c r="G59" s="397"/>
      <c r="H59" s="7"/>
      <c r="I59" s="326">
        <f>SUM(B59:G59)</f>
        <v>2733.33</v>
      </c>
      <c r="J59" s="327"/>
      <c r="K59" s="327"/>
      <c r="L59" s="229"/>
      <c r="M59" s="7"/>
      <c r="N59" s="7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AA59" s="56"/>
      <c r="AB59" s="56"/>
      <c r="AC59" s="56"/>
      <c r="AD59" s="56"/>
    </row>
    <row r="60" spans="1:30" ht="12" hidden="1" thickBot="1" x14ac:dyDescent="0.25">
      <c r="A60" s="252" t="s">
        <v>53</v>
      </c>
      <c r="B60" s="382">
        <f>SUM(B58,B59)</f>
        <v>15749.19</v>
      </c>
      <c r="C60" s="382"/>
      <c r="D60" s="382"/>
      <c r="E60" s="382">
        <f>SUM(E58,E59)</f>
        <v>0</v>
      </c>
      <c r="F60" s="382"/>
      <c r="G60" s="383"/>
      <c r="H60" s="7"/>
      <c r="I60" s="332">
        <f>SUM(I58,I59)</f>
        <v>15749.19</v>
      </c>
      <c r="J60" s="333"/>
      <c r="K60" s="333"/>
      <c r="L60" s="229"/>
      <c r="M60" s="7"/>
      <c r="N60" s="7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7"/>
      <c r="AA60" s="57"/>
      <c r="AB60" s="57"/>
      <c r="AC60" s="57"/>
      <c r="AD60" s="56"/>
    </row>
    <row r="61" spans="1:30" hidden="1" x14ac:dyDescent="0.2">
      <c r="A61" s="7"/>
      <c r="B61" s="253"/>
      <c r="C61" s="7"/>
      <c r="D61" s="7"/>
      <c r="E61" s="7"/>
      <c r="F61" s="7"/>
      <c r="G61" s="7"/>
      <c r="H61" s="7"/>
      <c r="I61" s="253"/>
      <c r="J61" s="7"/>
      <c r="K61" s="7"/>
      <c r="L61" s="7"/>
      <c r="M61" s="7"/>
      <c r="N61" s="7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6"/>
      <c r="AA61" s="56"/>
      <c r="AB61" s="56"/>
      <c r="AC61" s="56"/>
      <c r="AD61" s="56"/>
    </row>
    <row r="62" spans="1:30" hidden="1" x14ac:dyDescent="0.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6"/>
      <c r="AA62" s="56"/>
      <c r="AB62" s="56"/>
      <c r="AC62" s="56"/>
      <c r="AD62" s="56"/>
    </row>
    <row r="63" spans="1:30" hidden="1" x14ac:dyDescent="0.2">
      <c r="A63" s="249"/>
      <c r="B63" s="399" t="s">
        <v>85</v>
      </c>
      <c r="C63" s="399"/>
      <c r="D63" s="399"/>
      <c r="E63" s="399"/>
      <c r="F63" s="399"/>
      <c r="G63" s="400"/>
      <c r="H63" s="7"/>
      <c r="I63" s="360" t="s">
        <v>151</v>
      </c>
      <c r="J63" s="361"/>
      <c r="K63" s="362"/>
      <c r="L63" s="229"/>
      <c r="M63" s="7"/>
      <c r="N63" s="7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6"/>
      <c r="AA63" s="56"/>
      <c r="AB63" s="56"/>
      <c r="AC63" s="56"/>
      <c r="AD63" s="56"/>
    </row>
    <row r="64" spans="1:30" hidden="1" x14ac:dyDescent="0.2">
      <c r="A64" s="254" t="s">
        <v>84</v>
      </c>
      <c r="B64" s="393">
        <f>IF(B47="FORMOJE YRA KLAIDŲ, PRAŠOME PATIKRINTI ĮVESTAS REIKŠMES",0,Support!B65)</f>
        <v>3536.4</v>
      </c>
      <c r="C64" s="393"/>
      <c r="D64" s="393"/>
      <c r="E64" s="393">
        <f>IF(B47="FORMOJE YRA KLAIDŲ, PRAŠOME PATIKRINTI ĮVESTAS REIKŠMES",0,Support!B86)</f>
        <v>0</v>
      </c>
      <c r="F64" s="393"/>
      <c r="G64" s="394"/>
      <c r="H64" s="7"/>
      <c r="I64" s="345">
        <f>SUM(B64:G64)</f>
        <v>3536.4</v>
      </c>
      <c r="J64" s="346"/>
      <c r="K64" s="346"/>
      <c r="L64" s="229"/>
      <c r="M64" s="7"/>
      <c r="N64" s="7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6"/>
      <c r="AA64" s="56"/>
      <c r="AB64" s="56"/>
      <c r="AC64" s="56"/>
      <c r="AD64" s="56"/>
    </row>
    <row r="65" spans="1:30" ht="12" hidden="1" thickBot="1" x14ac:dyDescent="0.25">
      <c r="A65" s="255" t="s">
        <v>52</v>
      </c>
      <c r="B65" s="396">
        <f>IF(B47="FORMOJE YRA KLAIDŲ, PRAŠOME PATIKRINTI ĮVESTAS REIKŠMES",0,Support!C65)</f>
        <v>742.65000000000009</v>
      </c>
      <c r="C65" s="396"/>
      <c r="D65" s="396"/>
      <c r="E65" s="396">
        <f>IF(B47="FORMOJE YRA KLAIDŲ, PRAŠOME PATIKRINTI ĮVESTAS REIKŠMES",0,Support!C86)</f>
        <v>0</v>
      </c>
      <c r="F65" s="396"/>
      <c r="G65" s="397"/>
      <c r="H65" s="7"/>
      <c r="I65" s="326">
        <f>SUM(B65:G65)</f>
        <v>742.65000000000009</v>
      </c>
      <c r="J65" s="327"/>
      <c r="K65" s="327"/>
      <c r="L65" s="229"/>
      <c r="M65" s="7"/>
      <c r="N65" s="7"/>
      <c r="O65" s="55"/>
      <c r="P65" s="55"/>
      <c r="Q65" s="55"/>
      <c r="R65" s="65"/>
      <c r="S65" s="55"/>
      <c r="T65" s="55"/>
      <c r="U65" s="55"/>
      <c r="V65" s="55"/>
      <c r="W65" s="55"/>
      <c r="X65" s="55"/>
      <c r="Y65" s="55"/>
      <c r="Z65" s="56"/>
      <c r="AA65" s="56"/>
      <c r="AB65" s="56"/>
      <c r="AC65" s="56"/>
      <c r="AD65" s="56"/>
    </row>
    <row r="66" spans="1:30" ht="12" hidden="1" thickBot="1" x14ac:dyDescent="0.25">
      <c r="A66" s="256" t="s">
        <v>53</v>
      </c>
      <c r="B66" s="382">
        <f>SUM(B64:D65)</f>
        <v>4279.05</v>
      </c>
      <c r="C66" s="382"/>
      <c r="D66" s="382"/>
      <c r="E66" s="382">
        <f>SUM(E64:G65)</f>
        <v>0</v>
      </c>
      <c r="F66" s="382"/>
      <c r="G66" s="383"/>
      <c r="H66" s="7"/>
      <c r="I66" s="332">
        <f>SUM(I64:K65)</f>
        <v>4279.05</v>
      </c>
      <c r="J66" s="333"/>
      <c r="K66" s="333"/>
      <c r="L66" s="229"/>
      <c r="M66" s="7"/>
      <c r="N66" s="7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7"/>
      <c r="AA66" s="57"/>
      <c r="AB66" s="57"/>
      <c r="AC66" s="57"/>
      <c r="AD66" s="56"/>
    </row>
    <row r="67" spans="1:30" hidden="1" x14ac:dyDescent="0.2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6"/>
      <c r="AA67" s="56"/>
      <c r="AB67" s="56"/>
      <c r="AC67" s="56"/>
      <c r="AD67" s="56"/>
    </row>
    <row r="68" spans="1:30" hidden="1" x14ac:dyDescent="0.2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6"/>
      <c r="AA68" s="56"/>
      <c r="AB68" s="56"/>
      <c r="AC68" s="56"/>
      <c r="AD68" s="56"/>
    </row>
    <row r="69" spans="1:30" hidden="1" x14ac:dyDescent="0.2">
      <c r="A69" s="257"/>
      <c r="B69" s="399" t="s">
        <v>86</v>
      </c>
      <c r="C69" s="399"/>
      <c r="D69" s="399"/>
      <c r="E69" s="399"/>
      <c r="F69" s="399"/>
      <c r="G69" s="400"/>
      <c r="H69" s="7"/>
      <c r="I69" s="360" t="s">
        <v>152</v>
      </c>
      <c r="J69" s="361"/>
      <c r="K69" s="362"/>
      <c r="L69" s="229"/>
      <c r="M69" s="7"/>
      <c r="N69" s="7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6"/>
      <c r="AA69" s="56"/>
      <c r="AB69" s="56"/>
      <c r="AC69" s="56"/>
      <c r="AD69" s="56"/>
    </row>
    <row r="70" spans="1:30" hidden="1" x14ac:dyDescent="0.2">
      <c r="A70" s="254" t="s">
        <v>84</v>
      </c>
      <c r="B70" s="416">
        <f>IF(OR(AND(Paraiska!B6 = 1, Paraiska!B9=""),AND(Paraiska!B6 = 2, Paraiska!B9="", Paraiska!E9="")),IFERROR(ROUND((Support!D53-(((B31+B32)/SUM(B10:G10))*B10))*B37,2),0),IFERROR(ROUND((Support!D53-(((B31+B32)/SUM(B9:G9))*B9))*B37,2),0))</f>
        <v>2479.46</v>
      </c>
      <c r="C70" s="364"/>
      <c r="D70" s="417"/>
      <c r="E70" s="364">
        <f>IF(OR(AND(Paraiska!B6 = 1, Paraiska!B9=""),AND(Paraiska!B6 = 2, Paraiska!B9="", Paraiska!E9="")),IF(E10=0,0,ROUND(((Support!D53+Support!D73)-B31-B32)*B37,2)-B70),IF(E9=0,0,ROUND(((Support!D53+Support!D73)-B31-B32)*B37,2)-B70))</f>
        <v>0</v>
      </c>
      <c r="F70" s="364"/>
      <c r="G70" s="365"/>
      <c r="H70" s="7"/>
      <c r="I70" s="363">
        <f>SUM(B70:G70)</f>
        <v>2479.46</v>
      </c>
      <c r="J70" s="364"/>
      <c r="K70" s="364"/>
      <c r="L70" s="229"/>
      <c r="M70" s="7"/>
      <c r="N70" s="7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6"/>
      <c r="AA70" s="56"/>
      <c r="AB70" s="56"/>
      <c r="AC70" s="56"/>
      <c r="AD70" s="56"/>
    </row>
    <row r="71" spans="1:30" ht="12" hidden="1" thickBot="1" x14ac:dyDescent="0.25">
      <c r="A71" s="255" t="s">
        <v>52</v>
      </c>
      <c r="B71" s="418">
        <f>ROUND(B70*0.21,2)</f>
        <v>520.69000000000005</v>
      </c>
      <c r="C71" s="419"/>
      <c r="D71" s="420"/>
      <c r="E71" s="419">
        <f>IF(OR(AND(Paraiska!B6 = 1, Paraiska!B9=""),AND(Paraiska!B6 = 2, Paraiska!B9="", Paraiska!E9="")),IF(E10=0,0,ROUND((Support!D53+Support!D73-B31-B32)*B37*0.21,2)-B71),IF(E9=0,0,ROUND((Support!D53+Support!D73-B31-B32)*B37*0.21,2)-B71))</f>
        <v>0</v>
      </c>
      <c r="F71" s="419"/>
      <c r="G71" s="421"/>
      <c r="H71" s="7"/>
      <c r="I71" s="487">
        <f>SUM(B71:G71)</f>
        <v>520.69000000000005</v>
      </c>
      <c r="J71" s="419"/>
      <c r="K71" s="419"/>
      <c r="L71" s="229"/>
      <c r="M71" s="7"/>
      <c r="N71" s="7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6"/>
      <c r="AA71" s="56"/>
      <c r="AB71" s="56"/>
      <c r="AC71" s="56"/>
      <c r="AD71" s="56"/>
    </row>
    <row r="72" spans="1:30" ht="12" hidden="1" thickBot="1" x14ac:dyDescent="0.25">
      <c r="A72" s="256" t="s">
        <v>87</v>
      </c>
      <c r="B72" s="422">
        <f>SUM(B70:D71)</f>
        <v>3000.15</v>
      </c>
      <c r="C72" s="333"/>
      <c r="D72" s="381"/>
      <c r="E72" s="333">
        <f>SUM(E70:G71)</f>
        <v>0</v>
      </c>
      <c r="F72" s="333"/>
      <c r="G72" s="334"/>
      <c r="H72" s="7"/>
      <c r="I72" s="332">
        <f>SUM(B72:G72)</f>
        <v>3000.15</v>
      </c>
      <c r="J72" s="333"/>
      <c r="K72" s="333"/>
      <c r="L72" s="229"/>
      <c r="M72" s="7"/>
      <c r="N72" s="7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6"/>
      <c r="AA72" s="56"/>
      <c r="AB72" s="56"/>
      <c r="AC72" s="56"/>
      <c r="AD72" s="56"/>
    </row>
    <row r="73" spans="1:30" hidden="1" x14ac:dyDescent="0.2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6"/>
      <c r="AA73" s="56"/>
      <c r="AB73" s="56"/>
      <c r="AC73" s="56"/>
      <c r="AD73" s="56"/>
    </row>
    <row r="74" spans="1:30" hidden="1" x14ac:dyDescent="0.2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7"/>
      <c r="AA74" s="57"/>
      <c r="AB74" s="57"/>
      <c r="AC74" s="57"/>
      <c r="AD74" s="56"/>
    </row>
    <row r="75" spans="1:30" hidden="1" x14ac:dyDescent="0.2">
      <c r="A75" s="249"/>
      <c r="B75" s="399" t="s">
        <v>88</v>
      </c>
      <c r="C75" s="399"/>
      <c r="D75" s="399"/>
      <c r="E75" s="399"/>
      <c r="F75" s="399"/>
      <c r="G75" s="400"/>
      <c r="H75" s="7"/>
      <c r="I75" s="360" t="s">
        <v>153</v>
      </c>
      <c r="J75" s="361"/>
      <c r="K75" s="362"/>
      <c r="L75" s="229"/>
      <c r="M75" s="7"/>
      <c r="N75" s="7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6"/>
      <c r="AA75" s="57"/>
      <c r="AB75" s="56"/>
      <c r="AC75" s="56"/>
      <c r="AD75" s="56"/>
    </row>
    <row r="76" spans="1:30" hidden="1" x14ac:dyDescent="0.2">
      <c r="A76" s="254" t="s">
        <v>84</v>
      </c>
      <c r="B76" s="393">
        <f>B58</f>
        <v>13015.86</v>
      </c>
      <c r="C76" s="393"/>
      <c r="D76" s="393"/>
      <c r="E76" s="393">
        <f>E58</f>
        <v>0</v>
      </c>
      <c r="F76" s="393"/>
      <c r="G76" s="394"/>
      <c r="H76" s="7"/>
      <c r="I76" s="345">
        <f>SUM(B76:G76)</f>
        <v>13015.86</v>
      </c>
      <c r="J76" s="346"/>
      <c r="K76" s="346"/>
      <c r="L76" s="229"/>
      <c r="M76" s="7"/>
      <c r="N76" s="7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6"/>
      <c r="AA76" s="56"/>
      <c r="AB76" s="56"/>
      <c r="AC76" s="56"/>
      <c r="AD76" s="56"/>
    </row>
    <row r="77" spans="1:30" ht="12" hidden="1" thickBot="1" x14ac:dyDescent="0.25">
      <c r="A77" s="255" t="s">
        <v>52</v>
      </c>
      <c r="B77" s="396">
        <f>ROUND(IF(B11="Ne PVM moketojas - rangos darbai",0,B58*0.21),2)</f>
        <v>2733.33</v>
      </c>
      <c r="C77" s="396"/>
      <c r="D77" s="396"/>
      <c r="E77" s="396">
        <f>ROUND(IF(B11="Ne PVM moketojas - rangos darbai",0,E58*0.21),2)</f>
        <v>0</v>
      </c>
      <c r="F77" s="396"/>
      <c r="G77" s="397"/>
      <c r="H77" s="7"/>
      <c r="I77" s="326">
        <f>SUM(B77:G77)</f>
        <v>2733.33</v>
      </c>
      <c r="J77" s="327"/>
      <c r="K77" s="327"/>
      <c r="L77" s="229"/>
      <c r="M77" s="7"/>
      <c r="N77" s="7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6"/>
      <c r="AA77" s="56"/>
      <c r="AB77" s="56"/>
      <c r="AC77" s="56"/>
      <c r="AD77" s="56"/>
    </row>
    <row r="78" spans="1:30" ht="12" hidden="1" thickBot="1" x14ac:dyDescent="0.25">
      <c r="A78" s="256" t="s">
        <v>53</v>
      </c>
      <c r="B78" s="382">
        <f>SUM(B76:D77)</f>
        <v>15749.19</v>
      </c>
      <c r="C78" s="382"/>
      <c r="D78" s="382"/>
      <c r="E78" s="382">
        <f>SUM(E76:G77)</f>
        <v>0</v>
      </c>
      <c r="F78" s="382"/>
      <c r="G78" s="383"/>
      <c r="H78" s="7"/>
      <c r="I78" s="332">
        <f>SUM(B78:G78)</f>
        <v>15749.19</v>
      </c>
      <c r="J78" s="333"/>
      <c r="K78" s="333"/>
      <c r="L78" s="229"/>
      <c r="M78" s="7"/>
      <c r="N78" s="7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6"/>
      <c r="AA78" s="56"/>
      <c r="AB78" s="56"/>
      <c r="AC78" s="56"/>
      <c r="AD78" s="56"/>
    </row>
    <row r="79" spans="1:30" hidden="1" x14ac:dyDescent="0.2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6"/>
      <c r="AA79" s="56"/>
      <c r="AB79" s="56"/>
      <c r="AC79" s="56"/>
      <c r="AD79" s="56"/>
    </row>
    <row r="80" spans="1:30" hidden="1" x14ac:dyDescent="0.2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6"/>
      <c r="AA80" s="56"/>
      <c r="AB80" s="56"/>
      <c r="AC80" s="56"/>
      <c r="AD80" s="56"/>
    </row>
    <row r="81" spans="1:30" hidden="1" x14ac:dyDescent="0.2">
      <c r="A81" s="258"/>
      <c r="B81" s="467" t="s">
        <v>154</v>
      </c>
      <c r="C81" s="467"/>
      <c r="D81" s="467"/>
      <c r="E81" s="467"/>
      <c r="F81" s="467"/>
      <c r="G81" s="468"/>
      <c r="H81" s="7"/>
      <c r="I81" s="360" t="s">
        <v>155</v>
      </c>
      <c r="J81" s="361"/>
      <c r="K81" s="362"/>
      <c r="L81" s="229"/>
      <c r="M81" s="7"/>
      <c r="N81" s="7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6"/>
      <c r="AA81" s="56"/>
      <c r="AB81" s="56"/>
      <c r="AC81" s="56"/>
      <c r="AD81" s="56"/>
    </row>
    <row r="82" spans="1:30" hidden="1" x14ac:dyDescent="0.2">
      <c r="A82" s="240" t="s">
        <v>156</v>
      </c>
      <c r="B82" s="384">
        <f>B60</f>
        <v>15749.19</v>
      </c>
      <c r="C82" s="346"/>
      <c r="D82" s="385"/>
      <c r="E82" s="384">
        <f>E60</f>
        <v>0</v>
      </c>
      <c r="F82" s="346"/>
      <c r="G82" s="347"/>
      <c r="H82" s="7"/>
      <c r="I82" s="345">
        <f>SUM(B82:G82)</f>
        <v>15749.19</v>
      </c>
      <c r="J82" s="346"/>
      <c r="K82" s="347"/>
      <c r="L82" s="229"/>
      <c r="M82" s="7"/>
      <c r="N82" s="7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6"/>
      <c r="AA82" s="56"/>
      <c r="AB82" s="56"/>
      <c r="AC82" s="56"/>
      <c r="AD82" s="56"/>
    </row>
    <row r="83" spans="1:30" hidden="1" x14ac:dyDescent="0.2">
      <c r="A83" s="259" t="s">
        <v>157</v>
      </c>
      <c r="B83" s="403">
        <f>IF(OR(AND(Paraiska!B6 = 1, Paraiska!B9=""),AND(Paraiska!B6 = 2, Paraiska!B9="", Paraiska!E9="")),IFERROR((B31+B32)/SUM(B10:G10)*B10,0),IFERROR((B31+B32)/SUM(B9:G9)*B9,0))</f>
        <v>0</v>
      </c>
      <c r="C83" s="404"/>
      <c r="D83" s="405"/>
      <c r="E83" s="403">
        <f>SUM(B31:G32)-B83</f>
        <v>0</v>
      </c>
      <c r="F83" s="404"/>
      <c r="G83" s="441"/>
      <c r="H83" s="7"/>
      <c r="I83" s="440">
        <f t="shared" ref="I83:I91" si="1">SUM(B83:G83)</f>
        <v>0</v>
      </c>
      <c r="J83" s="404"/>
      <c r="K83" s="441"/>
      <c r="L83" s="229"/>
      <c r="M83" s="7"/>
      <c r="N83" s="7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6"/>
      <c r="AA83" s="56"/>
      <c r="AB83" s="56"/>
      <c r="AC83" s="56"/>
      <c r="AD83" s="56"/>
    </row>
    <row r="84" spans="1:30" hidden="1" x14ac:dyDescent="0.2">
      <c r="A84" s="259" t="s">
        <v>158</v>
      </c>
      <c r="B84" s="403"/>
      <c r="C84" s="404"/>
      <c r="D84" s="405"/>
      <c r="E84" s="219"/>
      <c r="F84" s="220"/>
      <c r="G84" s="221"/>
      <c r="H84" s="7"/>
      <c r="I84" s="440">
        <f>SUM(B84:G84)</f>
        <v>0</v>
      </c>
      <c r="J84" s="404"/>
      <c r="K84" s="441"/>
      <c r="L84" s="229"/>
      <c r="M84" s="7"/>
      <c r="N84" s="7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6"/>
      <c r="AA84" s="56"/>
      <c r="AB84" s="56"/>
      <c r="AC84" s="56"/>
      <c r="AD84" s="56"/>
    </row>
    <row r="85" spans="1:30" hidden="1" x14ac:dyDescent="0.2">
      <c r="A85" s="259" t="s">
        <v>159</v>
      </c>
      <c r="B85" s="403">
        <f>B82-B83-B84</f>
        <v>15749.19</v>
      </c>
      <c r="C85" s="404"/>
      <c r="D85" s="405"/>
      <c r="E85" s="403">
        <f>E82-E83-E84</f>
        <v>0</v>
      </c>
      <c r="F85" s="404"/>
      <c r="G85" s="441"/>
      <c r="H85" s="7"/>
      <c r="I85" s="440">
        <f t="shared" si="1"/>
        <v>15749.19</v>
      </c>
      <c r="J85" s="404"/>
      <c r="K85" s="441"/>
      <c r="L85" s="229"/>
      <c r="M85" s="7"/>
      <c r="N85" s="7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6"/>
      <c r="AA85" s="56"/>
      <c r="AB85" s="56"/>
      <c r="AC85" s="56"/>
      <c r="AD85" s="56"/>
    </row>
    <row r="86" spans="1:30" hidden="1" x14ac:dyDescent="0.2">
      <c r="A86" s="240" t="s">
        <v>160</v>
      </c>
      <c r="B86" s="384">
        <f>IF(B47="FORMOJE YRA KLAIDŲ, PRAŠOME PATIKRINTI ĮVESTAS REIKŠMES",0,B72)</f>
        <v>3000.15</v>
      </c>
      <c r="C86" s="346"/>
      <c r="D86" s="385"/>
      <c r="E86" s="384">
        <f>IF(B47="FORMOJE YRA KLAIDŲ, PRAŠOME PATIKRINTI ĮVESTAS REIKŠMES",0,E72)</f>
        <v>0</v>
      </c>
      <c r="F86" s="346"/>
      <c r="G86" s="347"/>
      <c r="H86" s="7"/>
      <c r="I86" s="345">
        <f>SUM(B86:G86)</f>
        <v>3000.15</v>
      </c>
      <c r="J86" s="346"/>
      <c r="K86" s="347"/>
      <c r="L86" s="229"/>
      <c r="M86" s="7"/>
      <c r="N86" s="7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6"/>
      <c r="AA86" s="56"/>
      <c r="AB86" s="56"/>
      <c r="AC86" s="56"/>
      <c r="AD86" s="56"/>
    </row>
    <row r="87" spans="1:30" hidden="1" x14ac:dyDescent="0.2">
      <c r="A87" s="240" t="s">
        <v>161</v>
      </c>
      <c r="B87" s="384">
        <f>IF(B12="TAIP",B59,0)</f>
        <v>2733.33</v>
      </c>
      <c r="C87" s="346"/>
      <c r="D87" s="385"/>
      <c r="E87" s="384">
        <f>IF(E12="TAIP",E59,0)</f>
        <v>0</v>
      </c>
      <c r="F87" s="346"/>
      <c r="G87" s="347"/>
      <c r="H87" s="7"/>
      <c r="I87" s="345">
        <f t="shared" si="1"/>
        <v>2733.33</v>
      </c>
      <c r="J87" s="346"/>
      <c r="K87" s="347"/>
      <c r="L87" s="229"/>
      <c r="M87" s="7"/>
      <c r="N87" s="7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6"/>
      <c r="AA87" s="56"/>
      <c r="AB87" s="56"/>
      <c r="AC87" s="56"/>
      <c r="AD87" s="56"/>
    </row>
    <row r="88" spans="1:30" hidden="1" x14ac:dyDescent="0.2">
      <c r="A88" s="240" t="s">
        <v>162</v>
      </c>
      <c r="B88" s="384">
        <f>B40</f>
        <v>520.63</v>
      </c>
      <c r="C88" s="346"/>
      <c r="D88" s="385"/>
      <c r="E88" s="384">
        <f>E40</f>
        <v>0</v>
      </c>
      <c r="F88" s="346"/>
      <c r="G88" s="347"/>
      <c r="H88" s="7"/>
      <c r="I88" s="345">
        <f t="shared" si="1"/>
        <v>520.63</v>
      </c>
      <c r="J88" s="346"/>
      <c r="K88" s="347"/>
      <c r="L88" s="229"/>
      <c r="M88" s="7"/>
      <c r="N88" s="7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6"/>
      <c r="AA88" s="56"/>
      <c r="AB88" s="56"/>
      <c r="AC88" s="56"/>
      <c r="AD88" s="56"/>
    </row>
    <row r="89" spans="1:30" hidden="1" x14ac:dyDescent="0.2">
      <c r="A89" s="240" t="s">
        <v>163</v>
      </c>
      <c r="B89" s="384">
        <f>B66</f>
        <v>4279.05</v>
      </c>
      <c r="C89" s="346"/>
      <c r="D89" s="385"/>
      <c r="E89" s="384">
        <f>E66</f>
        <v>0</v>
      </c>
      <c r="F89" s="346"/>
      <c r="G89" s="347"/>
      <c r="H89" s="7"/>
      <c r="I89" s="345">
        <f t="shared" si="1"/>
        <v>4279.05</v>
      </c>
      <c r="J89" s="346"/>
      <c r="K89" s="347"/>
      <c r="L89" s="229"/>
      <c r="M89" s="7"/>
      <c r="N89" s="7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6"/>
      <c r="AA89" s="56"/>
      <c r="AB89" s="56"/>
      <c r="AC89" s="56"/>
      <c r="AD89" s="56"/>
    </row>
    <row r="90" spans="1:30" hidden="1" x14ac:dyDescent="0.2">
      <c r="A90" s="260" t="s">
        <v>149</v>
      </c>
      <c r="B90" s="384">
        <f>IF(B47="FORMOJE YRA KLAIDŲ, PRAŠOME PATIKRINTI ĮVESTAS REIKŠMES",0,(B60-B88-B86-B87-B89))</f>
        <v>5216.0300000000016</v>
      </c>
      <c r="C90" s="346"/>
      <c r="D90" s="385"/>
      <c r="E90" s="384">
        <f>IF(B47="FORMOJE YRA KLAIDŲ, PRAŠOME PATIKRINTI ĮVESTAS REIKŠMES",0,(E60-E88-E86-E87-E89))</f>
        <v>0</v>
      </c>
      <c r="F90" s="346"/>
      <c r="G90" s="347"/>
      <c r="H90" s="7"/>
      <c r="I90" s="345">
        <f t="shared" si="1"/>
        <v>5216.0300000000016</v>
      </c>
      <c r="J90" s="346"/>
      <c r="K90" s="347"/>
      <c r="L90" s="229"/>
      <c r="M90" s="7"/>
      <c r="N90" s="7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6"/>
      <c r="AA90" s="56"/>
      <c r="AB90" s="56"/>
      <c r="AC90" s="56"/>
      <c r="AD90" s="56"/>
    </row>
    <row r="91" spans="1:30" hidden="1" x14ac:dyDescent="0.2">
      <c r="A91" s="261" t="s">
        <v>164</v>
      </c>
      <c r="B91" s="403">
        <f>IF(B83&gt;B90,B90,B83)</f>
        <v>0</v>
      </c>
      <c r="C91" s="404"/>
      <c r="D91" s="405"/>
      <c r="E91" s="403">
        <f>IF(E83&gt;E90,E90,E83)</f>
        <v>0</v>
      </c>
      <c r="F91" s="404"/>
      <c r="G91" s="441"/>
      <c r="H91" s="7"/>
      <c r="I91" s="440">
        <f t="shared" si="1"/>
        <v>0</v>
      </c>
      <c r="J91" s="404"/>
      <c r="K91" s="441"/>
      <c r="L91" s="229"/>
      <c r="M91" s="7"/>
      <c r="N91" s="7"/>
      <c r="O91" s="6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6"/>
      <c r="AA91" s="56"/>
      <c r="AB91" s="56"/>
      <c r="AC91" s="56"/>
      <c r="AD91" s="56"/>
    </row>
    <row r="92" spans="1:30" hidden="1" x14ac:dyDescent="0.2">
      <c r="A92" s="261" t="s">
        <v>165</v>
      </c>
      <c r="B92" s="403"/>
      <c r="C92" s="404"/>
      <c r="D92" s="405"/>
      <c r="E92" s="169"/>
      <c r="F92" s="170"/>
      <c r="G92" s="171"/>
      <c r="H92" s="7"/>
      <c r="I92" s="440">
        <f>SUM(B92:G92)</f>
        <v>0</v>
      </c>
      <c r="J92" s="404"/>
      <c r="K92" s="441"/>
      <c r="L92" s="229"/>
      <c r="M92" s="7"/>
      <c r="N92" s="7"/>
      <c r="O92" s="6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6"/>
      <c r="AA92" s="56"/>
      <c r="AB92" s="56"/>
      <c r="AC92" s="56"/>
      <c r="AD92" s="56"/>
    </row>
    <row r="93" spans="1:30" ht="12" hidden="1" thickBot="1" x14ac:dyDescent="0.25">
      <c r="A93" s="262" t="s">
        <v>166</v>
      </c>
      <c r="B93" s="458">
        <f>B90-B91-B92</f>
        <v>5216.0300000000016</v>
      </c>
      <c r="C93" s="443"/>
      <c r="D93" s="459"/>
      <c r="E93" s="458">
        <f>E90-E91-E92</f>
        <v>0</v>
      </c>
      <c r="F93" s="443"/>
      <c r="G93" s="444"/>
      <c r="H93" s="7"/>
      <c r="I93" s="442">
        <f>SUM(B93:G93)</f>
        <v>5216.0300000000016</v>
      </c>
      <c r="J93" s="443"/>
      <c r="K93" s="444"/>
      <c r="L93" s="229"/>
      <c r="M93" s="7"/>
      <c r="N93" s="7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6"/>
      <c r="AA93" s="56"/>
      <c r="AB93" s="56"/>
      <c r="AC93" s="56"/>
      <c r="AD93" s="56"/>
    </row>
    <row r="94" spans="1:30" hidden="1" x14ac:dyDescent="0.2">
      <c r="A94" s="7"/>
      <c r="B94" s="253"/>
      <c r="C94" s="7"/>
      <c r="D94" s="7"/>
      <c r="E94" s="7"/>
      <c r="F94" s="7"/>
      <c r="G94" s="7"/>
      <c r="H94" s="7"/>
      <c r="I94" s="253"/>
      <c r="J94" s="7"/>
      <c r="K94" s="7"/>
      <c r="L94" s="7"/>
      <c r="M94" s="7"/>
      <c r="N94" s="7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</row>
    <row r="95" spans="1:30" hidden="1" x14ac:dyDescent="0.2">
      <c r="A95" s="7"/>
      <c r="B95" s="253"/>
      <c r="C95" s="7"/>
      <c r="D95" s="7"/>
      <c r="E95" s="7"/>
      <c r="F95" s="7"/>
      <c r="G95" s="7"/>
      <c r="H95" s="7"/>
      <c r="I95" s="253"/>
      <c r="J95" s="7"/>
      <c r="K95" s="7"/>
      <c r="L95" s="7"/>
      <c r="M95" s="7"/>
      <c r="N95" s="7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</row>
    <row r="96" spans="1:30" hidden="1" x14ac:dyDescent="0.2">
      <c r="A96" s="7"/>
      <c r="B96" s="253"/>
      <c r="C96" s="7"/>
      <c r="D96" s="7"/>
      <c r="E96" s="7"/>
      <c r="F96" s="7"/>
      <c r="G96" s="7"/>
      <c r="H96" s="7"/>
      <c r="I96" s="253"/>
      <c r="J96" s="7"/>
      <c r="K96" s="7"/>
      <c r="L96" s="7"/>
      <c r="M96" s="7"/>
      <c r="N96" s="7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</row>
    <row r="97" spans="1:25" hidden="1" x14ac:dyDescent="0.2">
      <c r="A97" s="222" t="s">
        <v>89</v>
      </c>
      <c r="B97" s="7"/>
      <c r="C97" s="7"/>
      <c r="D97" s="7"/>
      <c r="E97" s="7"/>
      <c r="F97" s="7"/>
      <c r="G97" s="7"/>
      <c r="I97" s="7"/>
      <c r="J97" s="7"/>
      <c r="K97" s="7"/>
      <c r="L97" s="7"/>
      <c r="M97" s="7"/>
      <c r="N97" s="7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</row>
    <row r="98" spans="1:25" hidden="1" x14ac:dyDescent="0.2">
      <c r="A98" s="263" t="s">
        <v>90</v>
      </c>
      <c r="B98" s="264" t="s">
        <v>51</v>
      </c>
      <c r="C98" s="265" t="s">
        <v>52</v>
      </c>
      <c r="D98" s="266" t="s">
        <v>53</v>
      </c>
      <c r="E98" s="267"/>
      <c r="F98" s="267"/>
      <c r="G98" s="267"/>
      <c r="L98" s="7"/>
      <c r="M98" s="7"/>
      <c r="N98" s="7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</row>
    <row r="99" spans="1:25" hidden="1" x14ac:dyDescent="0.2">
      <c r="A99" s="268" t="s">
        <v>91</v>
      </c>
      <c r="B99" s="108">
        <f>IFERROR(SUM(B58:G58),0)</f>
        <v>13015.86</v>
      </c>
      <c r="C99" s="109">
        <f>IFERROR(ROUND(IF(B11="Ne PVM moketojas - rangos darbai",0,SUM(B58:G58)*0.21),2),0)</f>
        <v>2733.33</v>
      </c>
      <c r="D99" s="110">
        <f>SUM(B99,C99)</f>
        <v>15749.19</v>
      </c>
      <c r="E99" s="7"/>
      <c r="F99" s="7"/>
      <c r="G99" s="7"/>
      <c r="L99" s="253"/>
      <c r="M99" s="253"/>
      <c r="N99" s="253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</row>
    <row r="100" spans="1:25" hidden="1" x14ac:dyDescent="0.2">
      <c r="A100" s="269" t="s">
        <v>92</v>
      </c>
      <c r="B100" s="111">
        <f>IFERROR(ROUND(IF(C99&gt;0,((B31+B32)/1.21),B31+B32),2),0)</f>
        <v>0</v>
      </c>
      <c r="C100" s="112">
        <f>D100-B100</f>
        <v>0</v>
      </c>
      <c r="D100" s="113">
        <f>B31+B32</f>
        <v>0</v>
      </c>
      <c r="E100" s="7"/>
      <c r="F100" s="7"/>
      <c r="G100" s="7"/>
      <c r="L100" s="7"/>
      <c r="M100" s="7"/>
      <c r="N100" s="7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</row>
    <row r="101" spans="1:25" hidden="1" x14ac:dyDescent="0.2">
      <c r="A101" s="269" t="s">
        <v>93</v>
      </c>
      <c r="B101" s="111">
        <f>B99-B100</f>
        <v>13015.86</v>
      </c>
      <c r="C101" s="112">
        <f>C99-C100</f>
        <v>2733.33</v>
      </c>
      <c r="D101" s="113">
        <f>D99-D100</f>
        <v>15749.19</v>
      </c>
      <c r="E101" s="7"/>
      <c r="F101" s="7"/>
      <c r="G101" s="7"/>
      <c r="L101" s="7"/>
      <c r="M101" s="7"/>
      <c r="N101" s="7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</row>
    <row r="102" spans="1:25" hidden="1" x14ac:dyDescent="0.2">
      <c r="A102" s="270" t="s">
        <v>94</v>
      </c>
      <c r="B102" s="456"/>
      <c r="C102" s="456"/>
      <c r="D102" s="457"/>
      <c r="E102" s="271"/>
      <c r="F102" s="271"/>
      <c r="G102" s="271"/>
      <c r="L102" s="7"/>
      <c r="M102" s="7"/>
      <c r="N102" s="7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</row>
    <row r="103" spans="1:25" hidden="1" x14ac:dyDescent="0.2">
      <c r="A103" s="272" t="s">
        <v>95</v>
      </c>
      <c r="B103" s="111">
        <f>B101/VLOOKUP($B$35,Support!$A$18:'Support'!$J$25,10,0)</f>
        <v>271.16374999999999</v>
      </c>
      <c r="C103" s="112">
        <f>C101/VLOOKUP($B$35,Support!$A$18:'Support'!$J$25,10,0)</f>
        <v>56.944375000000001</v>
      </c>
      <c r="D103" s="113">
        <f>D101/VLOOKUP($B$35,Support!$A$18:'Support'!$J$25,10,0)</f>
        <v>328.10812500000003</v>
      </c>
      <c r="E103" s="7"/>
      <c r="F103" s="7"/>
      <c r="G103" s="7"/>
      <c r="L103" s="7"/>
      <c r="M103" s="7"/>
      <c r="N103" s="7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</row>
    <row r="104" spans="1:25" hidden="1" x14ac:dyDescent="0.2">
      <c r="A104" s="272" t="s">
        <v>96</v>
      </c>
      <c r="B104" s="111">
        <f>B101/$B$28</f>
        <v>18.337879342894983</v>
      </c>
      <c r="C104" s="112">
        <f>C101/$B$28</f>
        <v>3.8509538166755894</v>
      </c>
      <c r="D104" s="113">
        <f>D101/$B$28</f>
        <v>22.188833159570574</v>
      </c>
      <c r="E104" s="7"/>
      <c r="F104" s="7"/>
      <c r="G104" s="7"/>
      <c r="L104" s="7"/>
      <c r="M104" s="7"/>
      <c r="N104" s="7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</row>
    <row r="105" spans="1:25" hidden="1" x14ac:dyDescent="0.2">
      <c r="A105" s="272" t="s">
        <v>97</v>
      </c>
      <c r="B105" s="111">
        <f>B103/$B$28</f>
        <v>0.38203915297697877</v>
      </c>
      <c r="C105" s="112">
        <f>C103/$B$28</f>
        <v>8.0228204514074794E-2</v>
      </c>
      <c r="D105" s="113">
        <f>D103/$B$28</f>
        <v>0.46226735749105363</v>
      </c>
      <c r="E105" s="7"/>
      <c r="F105" s="7"/>
      <c r="G105" s="7"/>
      <c r="L105" s="7"/>
      <c r="M105" s="7"/>
      <c r="N105" s="7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</row>
    <row r="106" spans="1:25" hidden="1" x14ac:dyDescent="0.2">
      <c r="A106" s="272" t="s">
        <v>98</v>
      </c>
      <c r="B106" s="114">
        <f>IFERROR(B101/$B$30,0)</f>
        <v>464.85214285714289</v>
      </c>
      <c r="C106" s="115">
        <f>IFERROR(C101/$B$30,0)</f>
        <v>97.618928571428569</v>
      </c>
      <c r="D106" s="116">
        <f>IFERROR(D101/$B$30,0)</f>
        <v>562.47107142857146</v>
      </c>
      <c r="E106" s="7"/>
      <c r="F106" s="7"/>
      <c r="G106" s="7"/>
      <c r="L106" s="7"/>
      <c r="M106" s="7"/>
      <c r="N106" s="7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</row>
    <row r="107" spans="1:25" ht="12" hidden="1" thickBot="1" x14ac:dyDescent="0.25">
      <c r="A107" s="273" t="s">
        <v>99</v>
      </c>
      <c r="B107" s="117">
        <f>IFERROR(B103/$B$30,0)</f>
        <v>9.6844196428571419</v>
      </c>
      <c r="C107" s="118">
        <f>IFERROR(C103/$B$30,0)</f>
        <v>2.0337276785714287</v>
      </c>
      <c r="D107" s="119">
        <f>IFERROR(D103/$B$30,0)</f>
        <v>11.718147321428573</v>
      </c>
      <c r="E107" s="7"/>
      <c r="F107" s="7"/>
      <c r="G107" s="7"/>
      <c r="L107" s="7"/>
      <c r="M107" s="7"/>
      <c r="N107" s="7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</row>
    <row r="108" spans="1:25" hidden="1" x14ac:dyDescent="0.2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</row>
    <row r="109" spans="1:25" hidden="1" x14ac:dyDescent="0.2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</row>
    <row r="110" spans="1:25" hidden="1" x14ac:dyDescent="0.2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</row>
    <row r="111" spans="1:25" hidden="1" x14ac:dyDescent="0.2">
      <c r="A111" s="274" t="s">
        <v>167</v>
      </c>
      <c r="B111" s="408" t="s">
        <v>167</v>
      </c>
      <c r="C111" s="408"/>
      <c r="D111" s="408"/>
      <c r="E111" s="408"/>
      <c r="F111" s="408"/>
      <c r="G111" s="408"/>
      <c r="H111" s="7"/>
      <c r="I111" s="408" t="s">
        <v>167</v>
      </c>
      <c r="J111" s="408"/>
      <c r="K111" s="408"/>
      <c r="L111" s="7"/>
      <c r="M111" s="7"/>
      <c r="N111" s="7"/>
    </row>
    <row r="112" spans="1:25" hidden="1" x14ac:dyDescent="0.2">
      <c r="A112" s="222" t="s">
        <v>168</v>
      </c>
      <c r="B112" s="380">
        <f>SUM(B113:B115)</f>
        <v>5736.6600000000017</v>
      </c>
      <c r="C112" s="380"/>
      <c r="D112" s="380"/>
      <c r="E112" s="380"/>
      <c r="F112" s="380"/>
      <c r="G112" s="380"/>
      <c r="H112" s="7"/>
      <c r="I112" s="380">
        <f>B112</f>
        <v>5736.6600000000017</v>
      </c>
      <c r="J112" s="380"/>
      <c r="K112" s="380"/>
      <c r="L112" s="7"/>
      <c r="M112" s="7"/>
      <c r="N112" s="7"/>
    </row>
    <row r="113" spans="1:14" hidden="1" x14ac:dyDescent="0.2">
      <c r="A113" s="275" t="s">
        <v>169</v>
      </c>
      <c r="B113" s="398">
        <f>SUM(B58:G58)</f>
        <v>13015.86</v>
      </c>
      <c r="C113" s="398"/>
      <c r="D113" s="398"/>
      <c r="E113" s="398"/>
      <c r="F113" s="398"/>
      <c r="G113" s="398"/>
      <c r="H113" s="7"/>
      <c r="I113" s="398">
        <f t="shared" ref="I113:I115" si="2">B113</f>
        <v>13015.86</v>
      </c>
      <c r="J113" s="398"/>
      <c r="K113" s="398"/>
      <c r="L113" s="7"/>
      <c r="M113" s="7"/>
      <c r="N113" s="7"/>
    </row>
    <row r="114" spans="1:14" hidden="1" x14ac:dyDescent="0.2">
      <c r="A114" s="275" t="s">
        <v>170</v>
      </c>
      <c r="B114" s="398">
        <f>-IF(OR(B11="PVM mokėtojas",B11="PVM mokėtojas - PVM neapmokestinama veikla, ne rangos darbai")=TRUE,SUM(B64:G64),SUM(B64:G64)+SUM(B65:G65))</f>
        <v>-4279.05</v>
      </c>
      <c r="C114" s="398"/>
      <c r="D114" s="398"/>
      <c r="E114" s="398"/>
      <c r="F114" s="398"/>
      <c r="G114" s="398"/>
      <c r="H114" s="7"/>
      <c r="I114" s="398">
        <f t="shared" si="2"/>
        <v>-4279.05</v>
      </c>
      <c r="J114" s="398"/>
      <c r="K114" s="398"/>
      <c r="L114" s="7"/>
      <c r="M114" s="7"/>
      <c r="N114" s="7"/>
    </row>
    <row r="115" spans="1:14" hidden="1" x14ac:dyDescent="0.2">
      <c r="A115" s="275" t="s">
        <v>87</v>
      </c>
      <c r="B115" s="398">
        <f>-IF(B47="FORMOJE YRA KLAIDŲ, PRAŠOME PATIKRINTI ĮVESTAS REIKŠMES",0,IF(OR(B11="PVM mokėtojas",B11="PVM mokėtojas - PVM neapmokestinama veikla, ne rangos darbai")=TRUE,SUM(B70:G70),SUM(B72:G72)))</f>
        <v>-3000.15</v>
      </c>
      <c r="C115" s="398"/>
      <c r="D115" s="398"/>
      <c r="E115" s="398"/>
      <c r="F115" s="398"/>
      <c r="G115" s="398"/>
      <c r="H115" s="7"/>
      <c r="I115" s="398">
        <f t="shared" si="2"/>
        <v>-3000.15</v>
      </c>
      <c r="J115" s="398"/>
      <c r="K115" s="398"/>
      <c r="L115" s="7"/>
      <c r="M115" s="7"/>
      <c r="N115" s="7"/>
    </row>
    <row r="116" spans="1:14" hidden="1" x14ac:dyDescent="0.2">
      <c r="A116" s="7"/>
      <c r="B116" s="16"/>
      <c r="E116" s="406"/>
      <c r="F116" s="406"/>
      <c r="G116" s="406"/>
      <c r="H116" s="7"/>
      <c r="I116" s="16"/>
      <c r="L116" s="7"/>
      <c r="M116" s="7"/>
      <c r="N116" s="7"/>
    </row>
    <row r="117" spans="1:14" hidden="1" x14ac:dyDescent="0.2">
      <c r="A117" s="222" t="s">
        <v>171</v>
      </c>
      <c r="B117" s="380">
        <f>SUM(B64:G64)</f>
        <v>3536.4</v>
      </c>
      <c r="C117" s="380"/>
      <c r="D117" s="380"/>
      <c r="E117" s="380"/>
      <c r="F117" s="380"/>
      <c r="G117" s="380"/>
      <c r="H117" s="7"/>
      <c r="I117" s="380">
        <f t="shared" ref="I117:I119" si="3">B117</f>
        <v>3536.4</v>
      </c>
      <c r="J117" s="380"/>
      <c r="K117" s="380"/>
      <c r="L117" s="7"/>
      <c r="M117" s="7"/>
      <c r="N117" s="7"/>
    </row>
    <row r="118" spans="1:14" hidden="1" x14ac:dyDescent="0.2">
      <c r="A118" s="222" t="s">
        <v>172</v>
      </c>
      <c r="B118" s="380">
        <f>IF(B47="FORMOJE YRA KLAIDŲ, PRAŠOME PATIKRINTI ĮVESTAS REIKŠMES",0,IF(OR(B11="PVM mokėtojas",B11="PVM mokėtojas - PVM neapmokestinama veikla, ne rangos darbai")=TRUE,SUM(B70:G70),SUM(B72:G72)))</f>
        <v>3000.15</v>
      </c>
      <c r="C118" s="380"/>
      <c r="D118" s="380"/>
      <c r="E118" s="380"/>
      <c r="F118" s="380"/>
      <c r="G118" s="380"/>
      <c r="H118" s="7"/>
      <c r="I118" s="380">
        <f t="shared" si="3"/>
        <v>3000.15</v>
      </c>
      <c r="J118" s="380"/>
      <c r="K118" s="380"/>
      <c r="L118" s="7"/>
      <c r="M118" s="7"/>
      <c r="N118" s="7"/>
    </row>
    <row r="119" spans="1:14" hidden="1" x14ac:dyDescent="0.2">
      <c r="A119" s="222" t="s">
        <v>173</v>
      </c>
      <c r="B119" s="380">
        <f>IF(OR(B11="PVM mokėtojas",B11="PVM mokėtojas - PVM neapmokestinama veikla, ne rangos darbai")=TRUE,C99,C99+B65+E65)</f>
        <v>3475.98</v>
      </c>
      <c r="C119" s="380"/>
      <c r="D119" s="380"/>
      <c r="E119" s="380"/>
      <c r="F119" s="380"/>
      <c r="G119" s="380"/>
      <c r="H119" s="7"/>
      <c r="I119" s="380">
        <f t="shared" si="3"/>
        <v>3475.98</v>
      </c>
      <c r="J119" s="380"/>
      <c r="K119" s="380"/>
      <c r="L119" s="7"/>
      <c r="M119" s="7"/>
      <c r="N119" s="7"/>
    </row>
    <row r="120" spans="1:14" hidden="1" x14ac:dyDescent="0.2">
      <c r="A120" s="7"/>
      <c r="H120" s="7"/>
      <c r="L120" s="7"/>
      <c r="M120" s="7"/>
      <c r="N120" s="7"/>
    </row>
    <row r="121" spans="1:14" hidden="1" x14ac:dyDescent="0.2">
      <c r="A121" s="222" t="s">
        <v>174</v>
      </c>
      <c r="B121" s="380">
        <f>SUM(B112,B117,B118,B119)</f>
        <v>15749.19</v>
      </c>
      <c r="C121" s="380"/>
      <c r="D121" s="380"/>
      <c r="E121" s="380"/>
      <c r="F121" s="380"/>
      <c r="G121" s="380"/>
      <c r="H121" s="7"/>
      <c r="I121" s="380">
        <f t="shared" ref="I121:I122" si="4">B121</f>
        <v>15749.19</v>
      </c>
      <c r="J121" s="380"/>
      <c r="K121" s="380"/>
      <c r="L121" s="7"/>
      <c r="M121" s="7"/>
      <c r="N121" s="7"/>
    </row>
    <row r="122" spans="1:14" hidden="1" x14ac:dyDescent="0.2">
      <c r="A122" s="276" t="s">
        <v>175</v>
      </c>
      <c r="B122" s="407">
        <f>D99-B121</f>
        <v>0</v>
      </c>
      <c r="C122" s="407"/>
      <c r="D122" s="407"/>
      <c r="E122" s="407"/>
      <c r="F122" s="407"/>
      <c r="G122" s="407"/>
      <c r="H122" s="7"/>
      <c r="I122" s="407">
        <f t="shared" si="4"/>
        <v>0</v>
      </c>
      <c r="J122" s="407"/>
      <c r="K122" s="407"/>
      <c r="L122" s="7"/>
      <c r="M122" s="7"/>
      <c r="N122" s="7"/>
    </row>
    <row r="123" spans="1:14" hidden="1" x14ac:dyDescent="0.2">
      <c r="A123" s="7"/>
      <c r="B123" s="7"/>
      <c r="C123" s="7"/>
      <c r="D123" s="7"/>
      <c r="E123" s="7"/>
      <c r="F123" s="7"/>
      <c r="G123" s="7"/>
      <c r="H123" s="7"/>
      <c r="I123" s="277"/>
      <c r="J123" s="7"/>
      <c r="K123" s="7"/>
      <c r="L123" s="7"/>
      <c r="M123" s="7"/>
      <c r="N123" s="7"/>
    </row>
    <row r="124" spans="1:14" hidden="1" x14ac:dyDescent="0.2">
      <c r="A124" s="7"/>
      <c r="B124" s="7"/>
      <c r="C124" s="7"/>
      <c r="D124" s="7"/>
      <c r="E124" s="7"/>
      <c r="F124" s="7"/>
      <c r="G124" s="7"/>
      <c r="H124" s="7"/>
      <c r="I124" s="277"/>
      <c r="J124" s="7"/>
      <c r="K124" s="7"/>
      <c r="L124" s="7"/>
      <c r="M124" s="7"/>
      <c r="N124" s="7"/>
    </row>
    <row r="125" spans="1:14" hidden="1" x14ac:dyDescent="0.2">
      <c r="A125" s="7"/>
      <c r="B125" s="278"/>
      <c r="C125" s="7"/>
      <c r="D125" s="7"/>
      <c r="E125" s="7"/>
      <c r="F125" s="7"/>
      <c r="G125" s="7"/>
      <c r="H125" s="7"/>
      <c r="I125" s="277"/>
      <c r="J125" s="7"/>
      <c r="K125" s="7"/>
      <c r="L125" s="7"/>
      <c r="M125" s="7"/>
      <c r="N125" s="7"/>
    </row>
    <row r="126" spans="1:14" hidden="1" x14ac:dyDescent="0.2">
      <c r="A126" s="7"/>
      <c r="B126" s="7"/>
      <c r="C126" s="7"/>
      <c r="D126" s="7"/>
      <c r="E126" s="7"/>
      <c r="F126" s="7"/>
      <c r="G126" s="7"/>
      <c r="H126" s="7"/>
      <c r="I126" s="277"/>
      <c r="J126" s="7"/>
      <c r="K126" s="7"/>
      <c r="L126" s="7"/>
      <c r="M126" s="7"/>
      <c r="N126" s="7"/>
    </row>
    <row r="127" spans="1:14" hidden="1" x14ac:dyDescent="0.2">
      <c r="A127" s="7"/>
      <c r="B127" s="7"/>
      <c r="C127" s="7"/>
      <c r="D127" s="7"/>
      <c r="E127" s="7"/>
      <c r="F127" s="7"/>
      <c r="G127" s="7"/>
      <c r="H127" s="7"/>
      <c r="I127" s="277"/>
      <c r="J127" s="7"/>
      <c r="K127" s="7"/>
      <c r="L127" s="7"/>
      <c r="M127" s="7"/>
      <c r="N127" s="7"/>
    </row>
    <row r="128" spans="1:14" hidden="1" x14ac:dyDescent="0.2">
      <c r="A128" s="7"/>
      <c r="B128" s="7"/>
      <c r="C128" s="7"/>
      <c r="D128" s="7"/>
      <c r="E128" s="7"/>
      <c r="F128" s="7"/>
      <c r="G128" s="7"/>
      <c r="H128" s="7"/>
      <c r="I128" s="277"/>
      <c r="J128" s="7"/>
      <c r="K128" s="7"/>
      <c r="L128" s="7"/>
      <c r="M128" s="7"/>
      <c r="N128" s="7"/>
    </row>
    <row r="129" spans="1:14" hidden="1" x14ac:dyDescent="0.2">
      <c r="A129" s="7"/>
      <c r="B129" s="7"/>
      <c r="C129" s="7"/>
      <c r="D129" s="7"/>
      <c r="E129" s="7"/>
      <c r="F129" s="7"/>
      <c r="G129" s="7"/>
      <c r="H129" s="7"/>
      <c r="I129" s="253"/>
      <c r="J129" s="7"/>
      <c r="K129" s="7"/>
      <c r="L129" s="7"/>
      <c r="M129" s="7"/>
      <c r="N129" s="7"/>
    </row>
    <row r="130" spans="1:14" hidden="1" x14ac:dyDescent="0.2">
      <c r="A130" s="224"/>
      <c r="B130" s="279"/>
      <c r="C130" s="7"/>
      <c r="D130" s="7"/>
      <c r="E130" s="7"/>
      <c r="F130" s="7"/>
      <c r="G130" s="7"/>
      <c r="H130" s="7"/>
      <c r="I130" s="253"/>
      <c r="J130" s="7"/>
      <c r="K130" s="7"/>
      <c r="L130" s="7"/>
      <c r="M130" s="7"/>
      <c r="N130" s="7"/>
    </row>
    <row r="131" spans="1:14" ht="12" hidden="1" thickBot="1" x14ac:dyDescent="0.25">
      <c r="A131" s="224"/>
      <c r="B131" s="409" t="s">
        <v>176</v>
      </c>
      <c r="C131" s="409"/>
      <c r="D131" s="409"/>
      <c r="E131" s="409" t="s">
        <v>117</v>
      </c>
      <c r="F131" s="409"/>
      <c r="G131" s="409"/>
      <c r="H131" s="7"/>
      <c r="I131" s="253"/>
      <c r="J131" s="7"/>
      <c r="K131" s="7"/>
      <c r="L131" s="7"/>
      <c r="M131" s="7"/>
      <c r="N131" s="7"/>
    </row>
    <row r="132" spans="1:14" hidden="1" x14ac:dyDescent="0.2">
      <c r="A132" s="233"/>
      <c r="B132" s="368" t="s">
        <v>177</v>
      </c>
      <c r="C132" s="368"/>
      <c r="D132" s="368"/>
      <c r="E132" s="368"/>
      <c r="F132" s="368"/>
      <c r="G132" s="369"/>
      <c r="H132" s="7"/>
      <c r="I132" s="354" t="s">
        <v>177</v>
      </c>
      <c r="J132" s="355"/>
      <c r="K132" s="356"/>
      <c r="L132" s="7"/>
      <c r="M132" s="7"/>
      <c r="N132" s="7"/>
    </row>
    <row r="133" spans="1:14" hidden="1" x14ac:dyDescent="0.2">
      <c r="A133" s="237" t="s">
        <v>178</v>
      </c>
      <c r="B133" s="366">
        <v>2000</v>
      </c>
      <c r="C133" s="366"/>
      <c r="D133" s="366"/>
      <c r="E133" s="366"/>
      <c r="F133" s="366"/>
      <c r="G133" s="376"/>
      <c r="H133" s="7"/>
      <c r="I133" s="339">
        <f>SUM(B133:G133)</f>
        <v>2000</v>
      </c>
      <c r="J133" s="340"/>
      <c r="K133" s="341"/>
      <c r="L133" s="7"/>
      <c r="M133" s="7"/>
      <c r="N133" s="7"/>
    </row>
    <row r="134" spans="1:14" hidden="1" x14ac:dyDescent="0.2">
      <c r="A134" s="237" t="s">
        <v>121</v>
      </c>
      <c r="B134" s="366" t="s">
        <v>179</v>
      </c>
      <c r="C134" s="366"/>
      <c r="D134" s="366"/>
      <c r="E134" s="366"/>
      <c r="F134" s="366"/>
      <c r="G134" s="376"/>
      <c r="H134" s="7"/>
      <c r="I134" s="339" t="str">
        <f>B134</f>
        <v>PVM mokėtojas</v>
      </c>
      <c r="J134" s="340"/>
      <c r="K134" s="341"/>
      <c r="L134" s="7"/>
      <c r="M134" s="7"/>
      <c r="N134" s="7"/>
    </row>
    <row r="135" spans="1:14" hidden="1" x14ac:dyDescent="0.2">
      <c r="A135" s="237"/>
      <c r="B135" s="410"/>
      <c r="C135" s="410"/>
      <c r="D135" s="410"/>
      <c r="E135" s="410"/>
      <c r="F135" s="410"/>
      <c r="G135" s="411"/>
      <c r="H135" s="7"/>
      <c r="I135" s="336"/>
      <c r="J135" s="337"/>
      <c r="K135" s="338"/>
      <c r="L135" s="7"/>
      <c r="M135" s="7"/>
      <c r="N135" s="7"/>
    </row>
    <row r="136" spans="1:14" hidden="1" x14ac:dyDescent="0.2">
      <c r="A136" s="237" t="s">
        <v>127</v>
      </c>
      <c r="B136" s="366" t="s">
        <v>180</v>
      </c>
      <c r="C136" s="366"/>
      <c r="D136" s="366"/>
      <c r="E136" s="366"/>
      <c r="F136" s="366"/>
      <c r="G136" s="376"/>
      <c r="H136" s="7"/>
      <c r="I136" s="339" t="str">
        <f>B136</f>
        <v>UAB „Mano Būstas Alytus“</v>
      </c>
      <c r="J136" s="340"/>
      <c r="K136" s="341"/>
      <c r="L136" s="7"/>
      <c r="M136" s="7"/>
      <c r="N136" s="7"/>
    </row>
    <row r="137" spans="1:14" hidden="1" x14ac:dyDescent="0.2">
      <c r="A137" s="237" t="s">
        <v>128</v>
      </c>
      <c r="B137" s="366"/>
      <c r="C137" s="366"/>
      <c r="D137" s="366"/>
      <c r="E137" s="366"/>
      <c r="F137" s="366"/>
      <c r="G137" s="376"/>
      <c r="H137" s="7"/>
      <c r="I137" s="339">
        <f>B137</f>
        <v>0</v>
      </c>
      <c r="J137" s="340"/>
      <c r="K137" s="341"/>
      <c r="L137" s="7"/>
      <c r="M137" s="7"/>
      <c r="N137" s="7"/>
    </row>
    <row r="138" spans="1:14" hidden="1" x14ac:dyDescent="0.2">
      <c r="A138" s="237"/>
      <c r="B138" s="410"/>
      <c r="C138" s="410"/>
      <c r="D138" s="410"/>
      <c r="E138" s="410"/>
      <c r="F138" s="410"/>
      <c r="G138" s="411"/>
      <c r="H138" s="7"/>
      <c r="I138" s="336"/>
      <c r="J138" s="337"/>
      <c r="K138" s="338"/>
      <c r="L138" s="7"/>
      <c r="M138" s="7"/>
      <c r="N138" s="7"/>
    </row>
    <row r="139" spans="1:14" hidden="1" x14ac:dyDescent="0.2">
      <c r="A139" s="237" t="s">
        <v>130</v>
      </c>
      <c r="B139" s="366" t="s">
        <v>181</v>
      </c>
      <c r="C139" s="366"/>
      <c r="D139" s="366"/>
      <c r="E139" s="366"/>
      <c r="F139" s="366"/>
      <c r="G139" s="376"/>
      <c r="H139" s="7"/>
      <c r="I139" s="339" t="str">
        <f>B139</f>
        <v>Bendrija</v>
      </c>
      <c r="J139" s="340"/>
      <c r="K139" s="341"/>
      <c r="L139" s="7"/>
      <c r="M139" s="7"/>
      <c r="N139" s="7"/>
    </row>
    <row r="140" spans="1:14" hidden="1" x14ac:dyDescent="0.2">
      <c r="A140" s="237" t="s">
        <v>131</v>
      </c>
      <c r="B140" s="366"/>
      <c r="C140" s="366"/>
      <c r="D140" s="366"/>
      <c r="E140" s="366"/>
      <c r="F140" s="366"/>
      <c r="G140" s="376"/>
      <c r="H140" s="7"/>
      <c r="I140" s="339">
        <f>B140</f>
        <v>0</v>
      </c>
      <c r="J140" s="340"/>
      <c r="K140" s="341"/>
      <c r="L140" s="7"/>
      <c r="M140" s="7"/>
      <c r="N140" s="7"/>
    </row>
    <row r="141" spans="1:14" hidden="1" x14ac:dyDescent="0.2">
      <c r="A141" s="237" t="s">
        <v>133</v>
      </c>
      <c r="B141" s="366"/>
      <c r="C141" s="366"/>
      <c r="D141" s="366"/>
      <c r="E141" s="366"/>
      <c r="F141" s="366"/>
      <c r="G141" s="376"/>
      <c r="H141" s="7"/>
      <c r="I141" s="339">
        <f t="shared" ref="I141:I145" si="5">B141</f>
        <v>0</v>
      </c>
      <c r="J141" s="340"/>
      <c r="K141" s="341"/>
      <c r="L141" s="7"/>
      <c r="M141" s="7"/>
      <c r="N141" s="7"/>
    </row>
    <row r="142" spans="1:14" hidden="1" x14ac:dyDescent="0.2">
      <c r="A142" s="237" t="s">
        <v>182</v>
      </c>
      <c r="B142" s="366">
        <v>500</v>
      </c>
      <c r="C142" s="366"/>
      <c r="D142" s="366"/>
      <c r="E142" s="366"/>
      <c r="F142" s="366"/>
      <c r="G142" s="376"/>
      <c r="H142" s="7"/>
      <c r="I142" s="339">
        <f t="shared" si="5"/>
        <v>500</v>
      </c>
      <c r="J142" s="340"/>
      <c r="K142" s="341"/>
      <c r="L142" s="7"/>
      <c r="M142" s="7"/>
      <c r="N142" s="7"/>
    </row>
    <row r="143" spans="1:14" hidden="1" x14ac:dyDescent="0.2">
      <c r="A143" s="237" t="s">
        <v>137</v>
      </c>
      <c r="B143" s="366"/>
      <c r="C143" s="366"/>
      <c r="D143" s="366"/>
      <c r="E143" s="366"/>
      <c r="F143" s="366"/>
      <c r="G143" s="376"/>
      <c r="H143" s="7"/>
      <c r="I143" s="339">
        <f t="shared" si="5"/>
        <v>0</v>
      </c>
      <c r="J143" s="340"/>
      <c r="K143" s="341"/>
      <c r="L143" s="7"/>
      <c r="M143" s="7"/>
      <c r="N143" s="7"/>
    </row>
    <row r="144" spans="1:14" hidden="1" x14ac:dyDescent="0.2">
      <c r="A144" s="237" t="s">
        <v>183</v>
      </c>
      <c r="B144" s="366"/>
      <c r="C144" s="366"/>
      <c r="D144" s="366"/>
      <c r="E144" s="366"/>
      <c r="F144" s="366"/>
      <c r="G144" s="376"/>
      <c r="H144" s="7"/>
      <c r="I144" s="339">
        <f t="shared" si="5"/>
        <v>0</v>
      </c>
      <c r="J144" s="340"/>
      <c r="K144" s="341"/>
      <c r="L144" s="7"/>
      <c r="M144" s="7"/>
      <c r="N144" s="7"/>
    </row>
    <row r="145" spans="1:14" hidden="1" x14ac:dyDescent="0.2">
      <c r="A145" s="237" t="s">
        <v>138</v>
      </c>
      <c r="B145" s="366"/>
      <c r="C145" s="366"/>
      <c r="D145" s="366"/>
      <c r="E145" s="366"/>
      <c r="F145" s="366"/>
      <c r="G145" s="376"/>
      <c r="H145" s="7"/>
      <c r="I145" s="339">
        <f t="shared" si="5"/>
        <v>0</v>
      </c>
      <c r="J145" s="340"/>
      <c r="K145" s="341"/>
      <c r="L145" s="7"/>
      <c r="M145" s="7"/>
      <c r="N145" s="7"/>
    </row>
    <row r="146" spans="1:14" hidden="1" x14ac:dyDescent="0.2">
      <c r="A146" s="242" t="s">
        <v>141</v>
      </c>
      <c r="B146" s="414">
        <v>0</v>
      </c>
      <c r="C146" s="414"/>
      <c r="D146" s="414"/>
      <c r="E146" s="414"/>
      <c r="F146" s="414"/>
      <c r="G146" s="415"/>
      <c r="H146" s="7"/>
      <c r="I146" s="342">
        <f>B146</f>
        <v>0</v>
      </c>
      <c r="J146" s="343"/>
      <c r="K146" s="344"/>
      <c r="L146" s="7"/>
      <c r="M146" s="7"/>
      <c r="N146" s="7"/>
    </row>
    <row r="147" spans="1:14" hidden="1" x14ac:dyDescent="0.2">
      <c r="A147" s="104" t="s">
        <v>139</v>
      </c>
      <c r="B147" s="412">
        <v>1.5</v>
      </c>
      <c r="C147" s="412"/>
      <c r="D147" s="412"/>
      <c r="E147" s="412"/>
      <c r="F147" s="412"/>
      <c r="G147" s="413"/>
      <c r="H147" s="7"/>
      <c r="I147" s="348">
        <f>B147</f>
        <v>1.5</v>
      </c>
      <c r="J147" s="349"/>
      <c r="K147" s="350"/>
      <c r="L147" s="7"/>
      <c r="M147" s="7"/>
      <c r="N147" s="7"/>
    </row>
    <row r="148" spans="1:14" hidden="1" x14ac:dyDescent="0.2">
      <c r="A148" s="104" t="s">
        <v>81</v>
      </c>
      <c r="B148" s="412" t="str">
        <f>IFERROR(IF(AND(B156&gt;2000,(B156-B144-B145)/B142&gt;=1.5)=TRUE,"TAIP","NE"),"NE")</f>
        <v>TAIP</v>
      </c>
      <c r="C148" s="412"/>
      <c r="D148" s="412"/>
      <c r="E148" s="412"/>
      <c r="F148" s="412"/>
      <c r="G148" s="413"/>
      <c r="H148" s="7"/>
      <c r="I148" s="348" t="str">
        <f>B148</f>
        <v>TAIP</v>
      </c>
      <c r="J148" s="349"/>
      <c r="K148" s="350"/>
      <c r="L148" s="7"/>
      <c r="M148" s="7"/>
      <c r="N148" s="7"/>
    </row>
    <row r="149" spans="1:14" ht="12" hidden="1" thickBot="1" x14ac:dyDescent="0.25">
      <c r="A149" s="280" t="s">
        <v>140</v>
      </c>
      <c r="B149" s="401" t="str">
        <f>IF(B148="NE","Be išsimokėjimo termino","6 mėn.")</f>
        <v>6 mėn.</v>
      </c>
      <c r="C149" s="401"/>
      <c r="D149" s="401"/>
      <c r="E149" s="401"/>
      <c r="F149" s="401"/>
      <c r="G149" s="402"/>
      <c r="H149" s="7"/>
      <c r="I149" s="351" t="str">
        <f>B149</f>
        <v>6 mėn.</v>
      </c>
      <c r="J149" s="352" t="s">
        <v>184</v>
      </c>
      <c r="K149" s="353" t="s">
        <v>184</v>
      </c>
      <c r="L149" s="7"/>
      <c r="M149" s="7"/>
      <c r="N149" s="7"/>
    </row>
    <row r="150" spans="1:14" hidden="1" x14ac:dyDescent="0.2">
      <c r="B150" s="16"/>
    </row>
    <row r="151" spans="1:14" hidden="1" x14ac:dyDescent="0.2"/>
    <row r="152" spans="1:14" hidden="1" x14ac:dyDescent="0.2"/>
    <row r="153" spans="1:14" hidden="1" x14ac:dyDescent="0.2">
      <c r="A153" s="249" t="s">
        <v>185</v>
      </c>
      <c r="B153" s="399" t="s">
        <v>186</v>
      </c>
      <c r="C153" s="399"/>
      <c r="D153" s="399"/>
      <c r="E153" s="399"/>
      <c r="F153" s="399"/>
      <c r="G153" s="400"/>
      <c r="H153" s="7"/>
      <c r="I153" s="354" t="s">
        <v>186</v>
      </c>
      <c r="J153" s="355"/>
      <c r="K153" s="356"/>
      <c r="L153" s="7"/>
      <c r="M153" s="7"/>
      <c r="N153" s="7"/>
    </row>
    <row r="154" spans="1:14" hidden="1" x14ac:dyDescent="0.2">
      <c r="A154" s="281" t="s">
        <v>84</v>
      </c>
      <c r="B154" s="393">
        <f>B133</f>
        <v>2000</v>
      </c>
      <c r="C154" s="393"/>
      <c r="D154" s="393"/>
      <c r="E154" s="393">
        <f>E133</f>
        <v>0</v>
      </c>
      <c r="F154" s="393"/>
      <c r="G154" s="394"/>
      <c r="H154" s="7"/>
      <c r="I154" s="345">
        <f>SUM(B154:G154)</f>
        <v>2000</v>
      </c>
      <c r="J154" s="346"/>
      <c r="K154" s="347"/>
      <c r="L154" s="7"/>
      <c r="M154" s="7"/>
      <c r="N154" s="7"/>
    </row>
    <row r="155" spans="1:14" ht="12" hidden="1" thickBot="1" x14ac:dyDescent="0.25">
      <c r="A155" s="282" t="s">
        <v>52</v>
      </c>
      <c r="B155" s="396">
        <f>ROUND(IF(B134="PVM mokėtojas",B154*0.21,0),2)</f>
        <v>420</v>
      </c>
      <c r="C155" s="396"/>
      <c r="D155" s="396"/>
      <c r="E155" s="396">
        <f>ROUND(IF(B134="PVM mokėtojas",E154*0.21,0),2)</f>
        <v>0</v>
      </c>
      <c r="F155" s="396"/>
      <c r="G155" s="397"/>
      <c r="H155" s="7"/>
      <c r="I155" s="326">
        <f t="shared" ref="I155:I156" si="6">SUM(B155:G155)</f>
        <v>420</v>
      </c>
      <c r="J155" s="327"/>
      <c r="K155" s="328"/>
      <c r="L155" s="7"/>
      <c r="M155" s="7"/>
      <c r="N155" s="7"/>
    </row>
    <row r="156" spans="1:14" ht="12" hidden="1" thickBot="1" x14ac:dyDescent="0.25">
      <c r="A156" s="283" t="s">
        <v>53</v>
      </c>
      <c r="B156" s="382">
        <f>SUM(B154:D155)</f>
        <v>2420</v>
      </c>
      <c r="C156" s="382"/>
      <c r="D156" s="382"/>
      <c r="E156" s="382">
        <f>SUM(E154:G155)</f>
        <v>0</v>
      </c>
      <c r="F156" s="382"/>
      <c r="G156" s="383"/>
      <c r="H156" s="7"/>
      <c r="I156" s="357">
        <f t="shared" si="6"/>
        <v>2420</v>
      </c>
      <c r="J156" s="358"/>
      <c r="K156" s="359"/>
      <c r="L156" s="7"/>
      <c r="M156" s="7"/>
      <c r="N156" s="7"/>
    </row>
    <row r="157" spans="1:14" hidden="1" x14ac:dyDescent="0.2"/>
    <row r="158" spans="1:14" hidden="1" x14ac:dyDescent="0.2"/>
    <row r="159" spans="1:14" hidden="1" x14ac:dyDescent="0.2"/>
    <row r="160" spans="1:14" hidden="1" x14ac:dyDescent="0.2">
      <c r="A160" s="222" t="s">
        <v>187</v>
      </c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</row>
    <row r="161" spans="1:15" ht="21.75" hidden="1" customHeight="1" x14ac:dyDescent="0.2">
      <c r="A161" s="284" t="s">
        <v>90</v>
      </c>
      <c r="B161" s="285" t="s">
        <v>51</v>
      </c>
      <c r="C161" s="285" t="s">
        <v>52</v>
      </c>
      <c r="D161" s="286" t="s">
        <v>53</v>
      </c>
      <c r="E161" s="287"/>
      <c r="G161" s="287"/>
      <c r="H161" s="7"/>
      <c r="I161" s="288"/>
      <c r="J161" s="288"/>
      <c r="K161" s="288"/>
      <c r="L161" s="7"/>
      <c r="M161" s="7"/>
      <c r="N161" s="7"/>
    </row>
    <row r="162" spans="1:15" hidden="1" x14ac:dyDescent="0.2">
      <c r="A162" s="289" t="s">
        <v>91</v>
      </c>
      <c r="B162" s="120">
        <f>SUM(B154:G154)</f>
        <v>2000</v>
      </c>
      <c r="C162" s="120">
        <f>SUM(B155:G155)</f>
        <v>420</v>
      </c>
      <c r="D162" s="121">
        <f>SUM(B162:C162)</f>
        <v>2420</v>
      </c>
      <c r="E162" s="16"/>
      <c r="G162" s="21"/>
      <c r="H162" s="7"/>
      <c r="I162" s="57"/>
      <c r="J162" s="57"/>
      <c r="K162" s="68"/>
      <c r="L162" s="7"/>
      <c r="M162" s="7"/>
      <c r="N162" s="7"/>
    </row>
    <row r="163" spans="1:15" hidden="1" x14ac:dyDescent="0.2">
      <c r="A163" s="282" t="s">
        <v>92</v>
      </c>
      <c r="B163" s="122">
        <f>ROUND(IF(B134="PVM mokėtojas",SUM(B144:G145)/1.21,SUM(B144:G145)),2)</f>
        <v>0</v>
      </c>
      <c r="C163" s="122">
        <f>D163-B163</f>
        <v>0</v>
      </c>
      <c r="D163" s="123">
        <f>SUM(B144:G145)</f>
        <v>0</v>
      </c>
      <c r="E163" s="16"/>
      <c r="G163" s="21"/>
      <c r="H163" s="7"/>
      <c r="I163" s="57"/>
      <c r="J163" s="57"/>
      <c r="K163" s="68"/>
      <c r="L163" s="7"/>
      <c r="M163" s="7"/>
      <c r="N163" s="7"/>
    </row>
    <row r="164" spans="1:15" hidden="1" x14ac:dyDescent="0.2">
      <c r="A164" s="282" t="s">
        <v>188</v>
      </c>
      <c r="B164" s="122">
        <f>B162-B163</f>
        <v>2000</v>
      </c>
      <c r="C164" s="122">
        <f>C162-C163</f>
        <v>420</v>
      </c>
      <c r="D164" s="123">
        <f>SUM(B164:C164)</f>
        <v>2420</v>
      </c>
      <c r="E164" s="16"/>
      <c r="G164" s="21"/>
      <c r="H164" s="7"/>
      <c r="I164" s="57"/>
      <c r="J164" s="57"/>
      <c r="K164" s="68"/>
      <c r="L164" s="7"/>
      <c r="M164" s="7"/>
      <c r="N164" s="7"/>
    </row>
    <row r="165" spans="1:15" hidden="1" x14ac:dyDescent="0.2">
      <c r="A165" s="290" t="s">
        <v>94</v>
      </c>
      <c r="B165" s="270"/>
      <c r="C165" s="270"/>
      <c r="D165" s="291"/>
      <c r="E165" s="271"/>
      <c r="G165" s="271"/>
      <c r="H165" s="7"/>
      <c r="I165" s="335"/>
      <c r="J165" s="335"/>
      <c r="K165" s="335"/>
      <c r="L165" s="271"/>
      <c r="M165" s="7"/>
      <c r="N165" s="7"/>
    </row>
    <row r="166" spans="1:15" hidden="1" x14ac:dyDescent="0.2">
      <c r="A166" s="292" t="s">
        <v>95</v>
      </c>
      <c r="B166" s="122">
        <f>IF(B148="TAIP",B164/6,B164)</f>
        <v>333.33333333333331</v>
      </c>
      <c r="C166" s="122">
        <f>IF(B148="TAIP",C164/6,C164)</f>
        <v>70</v>
      </c>
      <c r="D166" s="123">
        <f t="shared" ref="D166:D170" si="7">SUM(B166:C166)</f>
        <v>403.33333333333331</v>
      </c>
      <c r="E166" s="16"/>
      <c r="G166" s="21"/>
      <c r="H166" s="7"/>
      <c r="I166" s="57"/>
      <c r="J166" s="57"/>
      <c r="K166" s="68"/>
      <c r="L166" s="7"/>
      <c r="M166" s="7"/>
      <c r="N166" s="7"/>
    </row>
    <row r="167" spans="1:15" hidden="1" x14ac:dyDescent="0.2">
      <c r="A167" s="292" t="s">
        <v>96</v>
      </c>
      <c r="B167" s="122">
        <f>IFERROR(B164/$B$142,0)</f>
        <v>4</v>
      </c>
      <c r="C167" s="122">
        <f>IFERROR(C164/$B$142,0)</f>
        <v>0.84</v>
      </c>
      <c r="D167" s="123">
        <f t="shared" si="7"/>
        <v>4.84</v>
      </c>
      <c r="E167" s="16"/>
      <c r="G167" s="21"/>
      <c r="H167" s="7"/>
      <c r="I167" s="57"/>
      <c r="J167" s="57"/>
      <c r="K167" s="68"/>
      <c r="L167" s="7"/>
      <c r="M167" s="7"/>
      <c r="N167" s="7"/>
    </row>
    <row r="168" spans="1:15" hidden="1" x14ac:dyDescent="0.2">
      <c r="A168" s="292" t="s">
        <v>97</v>
      </c>
      <c r="B168" s="122">
        <f>IFERROR(IF(B148="TAIP",B164/B142/6,B164/B142),0)</f>
        <v>0.66666666666666663</v>
      </c>
      <c r="C168" s="122">
        <f>IFERROR(IF(B148="TAIP",C164/B142/6,C164/B142),0)</f>
        <v>0.13999999999999999</v>
      </c>
      <c r="D168" s="123">
        <f t="shared" si="7"/>
        <v>0.80666666666666664</v>
      </c>
      <c r="E168" s="16"/>
      <c r="G168" s="21"/>
      <c r="I168" s="57"/>
      <c r="J168" s="57"/>
      <c r="K168" s="68"/>
      <c r="L168" s="293"/>
      <c r="M168" s="7"/>
      <c r="N168" s="7"/>
    </row>
    <row r="169" spans="1:15" hidden="1" x14ac:dyDescent="0.2">
      <c r="A169" s="292" t="s">
        <v>98</v>
      </c>
      <c r="B169" s="122">
        <f>IFERROR(B164/B143,0)</f>
        <v>0</v>
      </c>
      <c r="C169" s="122">
        <f>IFERROR(C164/B143,0)</f>
        <v>0</v>
      </c>
      <c r="D169" s="123">
        <f t="shared" si="7"/>
        <v>0</v>
      </c>
      <c r="E169" s="16"/>
      <c r="G169" s="21"/>
      <c r="I169" s="57"/>
      <c r="J169" s="57"/>
      <c r="K169" s="68"/>
      <c r="L169" s="7"/>
      <c r="M169" s="7"/>
      <c r="N169" s="7"/>
    </row>
    <row r="170" spans="1:15" ht="12" hidden="1" thickBot="1" x14ac:dyDescent="0.25">
      <c r="A170" s="294" t="s">
        <v>99</v>
      </c>
      <c r="B170" s="124">
        <f>IFERROR(IF(B148="TAIP",B164/B143/6,B164/B143),0)</f>
        <v>0</v>
      </c>
      <c r="C170" s="124">
        <f>IFERROR(IF(B148="TAIP",C164/B143/6,C164/B143),0)</f>
        <v>0</v>
      </c>
      <c r="D170" s="125">
        <f t="shared" si="7"/>
        <v>0</v>
      </c>
      <c r="E170" s="16"/>
      <c r="G170" s="21"/>
      <c r="I170" s="57"/>
      <c r="J170" s="57"/>
      <c r="K170" s="68"/>
      <c r="L170" s="7"/>
      <c r="M170" s="7"/>
      <c r="N170" s="7"/>
    </row>
    <row r="171" spans="1:15" hidden="1" x14ac:dyDescent="0.2">
      <c r="B171" s="36"/>
      <c r="C171" s="36"/>
      <c r="D171" s="36"/>
      <c r="E171" s="36"/>
      <c r="F171" s="36"/>
      <c r="G171" s="36"/>
      <c r="H171" s="29"/>
      <c r="I171" s="29"/>
    </row>
    <row r="172" spans="1:15" hidden="1" x14ac:dyDescent="0.2">
      <c r="B172" s="36"/>
      <c r="C172" s="36"/>
      <c r="D172" s="36"/>
      <c r="E172" s="36"/>
      <c r="F172" s="36"/>
      <c r="G172" s="36"/>
    </row>
    <row r="173" spans="1:15" hidden="1" x14ac:dyDescent="0.2">
      <c r="B173" s="36"/>
      <c r="C173" s="36"/>
      <c r="D173" s="36"/>
      <c r="E173" s="36"/>
      <c r="F173" s="36"/>
      <c r="G173" s="36"/>
    </row>
    <row r="174" spans="1:15" hidden="1" x14ac:dyDescent="0.2">
      <c r="B174" s="36"/>
      <c r="C174" s="36"/>
      <c r="D174" s="36"/>
      <c r="E174" s="36"/>
      <c r="F174" s="36"/>
      <c r="G174" s="36"/>
    </row>
    <row r="175" spans="1:15" hidden="1" x14ac:dyDescent="0.2">
      <c r="B175" s="36"/>
      <c r="C175" s="36"/>
      <c r="H175" s="29"/>
      <c r="I175" s="29"/>
    </row>
    <row r="176" spans="1:15" hidden="1" x14ac:dyDescent="0.2">
      <c r="A176" s="295"/>
      <c r="B176" s="386" t="s">
        <v>189</v>
      </c>
      <c r="C176" s="387"/>
      <c r="D176" s="387"/>
      <c r="E176" s="387"/>
      <c r="F176" s="387"/>
      <c r="G176" s="388"/>
      <c r="I176" s="360" t="s">
        <v>189</v>
      </c>
      <c r="J176" s="361"/>
      <c r="K176" s="362"/>
      <c r="O176" s="212" t="str">
        <f>IF('Darbu Sarasas'!$N$4="NE","*Pasirinktos netinkamos darbų garantijos sąlygos !!!","")</f>
        <v/>
      </c>
    </row>
    <row r="177" spans="1:15" hidden="1" x14ac:dyDescent="0.2">
      <c r="A177" s="126"/>
      <c r="B177" s="69" t="s">
        <v>51</v>
      </c>
      <c r="C177" s="69" t="s">
        <v>52</v>
      </c>
      <c r="D177" s="69" t="s">
        <v>53</v>
      </c>
      <c r="E177" s="69" t="s">
        <v>51</v>
      </c>
      <c r="F177" s="69" t="s">
        <v>52</v>
      </c>
      <c r="G177" s="70" t="s">
        <v>53</v>
      </c>
      <c r="I177" s="71" t="s">
        <v>51</v>
      </c>
      <c r="J177" s="69" t="s">
        <v>52</v>
      </c>
      <c r="K177" s="70" t="s">
        <v>53</v>
      </c>
      <c r="O177" s="212"/>
    </row>
    <row r="178" spans="1:15" hidden="1" x14ac:dyDescent="0.2">
      <c r="A178" s="126" t="s">
        <v>190</v>
      </c>
      <c r="B178" s="330">
        <f>IF(OR(AND(Paraiska!B6 = 1, Paraiska!B9=""),AND(Paraiska!B6 = 2, Paraiska!B9="", Paraiska!E9="")),0,IFERROR(Support!B37/SUM(B9:G9)*B9,0))</f>
        <v>0</v>
      </c>
      <c r="C178" s="330">
        <f>ROUND(B178*0.21,2)</f>
        <v>0</v>
      </c>
      <c r="D178" s="330">
        <f>B178+C178</f>
        <v>0</v>
      </c>
      <c r="E178" s="330">
        <f>I178-B178</f>
        <v>0</v>
      </c>
      <c r="F178" s="330">
        <f>J178-C178</f>
        <v>0</v>
      </c>
      <c r="G178" s="331">
        <f>K178-D178</f>
        <v>0</v>
      </c>
      <c r="I178" s="329">
        <f>IF(B9="",0,ROUND(VLOOKUP(Support!W18,Support!N18:T25,IF(B35=Support!A18,4,5),FALSE)*(B9+E9),2)+ROUND(IF(B36&lt;D8,0,B36*VLOOKUP(B35,Support!A18:K25,11,0))*(B9+E9),2))</f>
        <v>0</v>
      </c>
      <c r="J178" s="330">
        <f>ROUND(I178*0.21,2)</f>
        <v>0</v>
      </c>
      <c r="K178" s="331">
        <f>I178+J178</f>
        <v>0</v>
      </c>
      <c r="O178" s="211" t="str">
        <f>IF('Darbu Sarasas'!$N$4="NE","Tokiems darbams kaip: kondicionavimo sistemų papildymas šaldymo skysčiu, ","")</f>
        <v/>
      </c>
    </row>
    <row r="179" spans="1:15" hidden="1" x14ac:dyDescent="0.2">
      <c r="A179" s="126" t="s">
        <v>191</v>
      </c>
      <c r="B179" s="330"/>
      <c r="C179" s="330"/>
      <c r="D179" s="330"/>
      <c r="E179" s="330"/>
      <c r="F179" s="330"/>
      <c r="G179" s="331"/>
      <c r="I179" s="329"/>
      <c r="J179" s="330"/>
      <c r="K179" s="331"/>
      <c r="O179" s="211" t="str">
        <f>IF('Darbu Sarasas'!$N$4="NE","projektavimo darbai, konstrukcijų būklės vertinimas, techninės apžiūros, tyrimai, ","")</f>
        <v/>
      </c>
    </row>
    <row r="180" spans="1:15" hidden="1" x14ac:dyDescent="0.2">
      <c r="A180" s="126" t="s">
        <v>192</v>
      </c>
      <c r="B180" s="330"/>
      <c r="C180" s="330"/>
      <c r="D180" s="330"/>
      <c r="E180" s="330"/>
      <c r="F180" s="330"/>
      <c r="G180" s="331"/>
      <c r="I180" s="329"/>
      <c r="J180" s="330"/>
      <c r="K180" s="331"/>
      <c r="O180" s="211" t="str">
        <f>IF('Darbu Sarasas'!$N$4="NE","periodiniai patikrinimai, ekspertizės,","")</f>
        <v/>
      </c>
    </row>
    <row r="181" spans="1:15" hidden="1" x14ac:dyDescent="0.2">
      <c r="A181" s="126" t="s">
        <v>193</v>
      </c>
      <c r="B181" s="330"/>
      <c r="C181" s="330"/>
      <c r="D181" s="330"/>
      <c r="E181" s="330"/>
      <c r="F181" s="330"/>
      <c r="G181" s="331"/>
      <c r="I181" s="329"/>
      <c r="J181" s="330"/>
      <c r="K181" s="331"/>
      <c r="O181" s="212"/>
    </row>
    <row r="182" spans="1:15" hidden="1" x14ac:dyDescent="0.2">
      <c r="A182" s="126" t="s">
        <v>194</v>
      </c>
      <c r="B182" s="330"/>
      <c r="C182" s="330"/>
      <c r="D182" s="330"/>
      <c r="E182" s="330"/>
      <c r="F182" s="330"/>
      <c r="G182" s="331"/>
      <c r="I182" s="329"/>
      <c r="J182" s="330"/>
      <c r="K182" s="331"/>
      <c r="O182" s="213" t="str">
        <f>IF('Darbu Sarasas'!$N$4="NE","yra netaikomas nei garantinis sulaikymas, nei draudimas","")</f>
        <v/>
      </c>
    </row>
    <row r="183" spans="1:15" hidden="1" x14ac:dyDescent="0.2">
      <c r="A183" s="126" t="str">
        <f>IF(B34="TAIP","Rangovų finansinio faktoringo organizavimas","")</f>
        <v>Rangovų finansinio faktoringo organizavimas</v>
      </c>
      <c r="B183" s="217">
        <f>IF(B34="TAIP",IF(OR(AND(Paraiska!B6 = 1, Paraiska!B9=""),AND(Paraiska!B6 = 2, Paraiska!B9="", Paraiska!E9="")),0,IFERROR(Support!B42/SUM(B9:G9)*B9,0)),"")</f>
        <v>0</v>
      </c>
      <c r="C183" s="217">
        <f>IF(B34="TAIP",ROUND(B183*0.21,2),"")</f>
        <v>0</v>
      </c>
      <c r="D183" s="217">
        <f>IF(B34="TAIP",B183+C183,"")</f>
        <v>0</v>
      </c>
      <c r="E183" s="217">
        <f>IF(B34="TAIP",I183-B183,"")</f>
        <v>0</v>
      </c>
      <c r="F183" s="217">
        <f>IF(B34="TAIP",J183-C183,"")</f>
        <v>0</v>
      </c>
      <c r="G183" s="218">
        <f>IF(B34="TAIP",K183-D183,"")</f>
        <v>0</v>
      </c>
      <c r="I183" s="72">
        <f>IF(B34="TAIP",IF(B9="",0,IF(B35=Support!A18,0,ROUND(VLOOKUP(Support!W18,Support!N18:T25,6,FALSE)*(B9+E9),2))),"")</f>
        <v>0</v>
      </c>
      <c r="J183" s="217">
        <f>IF(B34="TAIP",ROUND(I183*0.21,2),"")</f>
        <v>0</v>
      </c>
      <c r="K183" s="218">
        <f>IF(B34="TAIP",I183+J183,"")</f>
        <v>0</v>
      </c>
      <c r="O183" s="212"/>
    </row>
    <row r="184" spans="1:15" ht="12" hidden="1" thickBot="1" x14ac:dyDescent="0.25">
      <c r="A184" s="126" t="str">
        <f>IF(B34="TAIP","Garantijos kaštai","")</f>
        <v>Garantijos kaštai</v>
      </c>
      <c r="B184" s="217">
        <f>IF(B34="TAIP",IF(OR(AND(Paraiska!B6 = 1, Paraiska!B9=""),AND(Paraiska!B6 = 2, Paraiska!B9="", Paraiska!E9="")),0,IFERROR(Support!B43/SUM(B9:G9)*B9,0)),"")</f>
        <v>0</v>
      </c>
      <c r="C184" s="217">
        <f>IF(B34="TAIP",ROUND(B184*0.21,2),"")</f>
        <v>0</v>
      </c>
      <c r="D184" s="217">
        <f>IF(B34="TAIP",B184+C184,"")</f>
        <v>0</v>
      </c>
      <c r="E184" s="217">
        <f>IF(B34="TAIP",I184-B184,"")</f>
        <v>0</v>
      </c>
      <c r="F184" s="217">
        <f>IF(B34="TAIP",J184-C184,"")</f>
        <v>0</v>
      </c>
      <c r="G184" s="218">
        <f>IF(B34="TAIP",K184-D184,"")</f>
        <v>0</v>
      </c>
      <c r="I184" s="73">
        <f>IF(B34="TAIP",IF(B9="",0,IF(B35=Support!A18,0,ROUND(VLOOKUP(Support!W18,Support!N18:T25,7,FALSE)*(B9+E9),2))),"")</f>
        <v>0</v>
      </c>
      <c r="J184" s="74">
        <f>IF(B34="TAIP",ROUND(I184*0.21,2),"")</f>
        <v>0</v>
      </c>
      <c r="K184" s="75">
        <f>IF(B34="TAIP",I184+J184,"")</f>
        <v>0</v>
      </c>
      <c r="O184" s="213" t="str">
        <f>IF('Darbu Sarasas'!$N$4="NE","Kitiems darbams turi būti taikomas arba garantinis sulaikymas, arba draudimas","")</f>
        <v/>
      </c>
    </row>
    <row r="185" spans="1:15" hidden="1" x14ac:dyDescent="0.2">
      <c r="O185" s="56"/>
    </row>
    <row r="186" spans="1:15" ht="12" hidden="1" thickTop="1" x14ac:dyDescent="0.2">
      <c r="A186" s="215" t="s">
        <v>331</v>
      </c>
      <c r="B186" s="216">
        <f>SUM($B$178:$B$184)</f>
        <v>0</v>
      </c>
      <c r="C186" s="216">
        <f>SUM($C$178:$C$184)</f>
        <v>0</v>
      </c>
      <c r="D186" s="216">
        <f>SUM($D$178:$D$184)</f>
        <v>0</v>
      </c>
      <c r="O186" s="56"/>
    </row>
    <row r="187" spans="1:15" hidden="1" x14ac:dyDescent="0.2">
      <c r="A187" s="296"/>
      <c r="B187" s="389"/>
      <c r="C187" s="389"/>
      <c r="D187" s="389"/>
      <c r="E187" s="390"/>
      <c r="F187" s="390"/>
      <c r="G187" s="391"/>
      <c r="I187" s="360" t="s">
        <v>151</v>
      </c>
      <c r="J187" s="361"/>
      <c r="K187" s="362"/>
    </row>
    <row r="188" spans="1:15" hidden="1" x14ac:dyDescent="0.2">
      <c r="A188" s="277"/>
      <c r="B188" s="392"/>
      <c r="C188" s="392"/>
      <c r="D188" s="392"/>
      <c r="E188" s="385"/>
      <c r="F188" s="393"/>
      <c r="G188" s="394"/>
      <c r="I188" s="345">
        <f>IF(B9="",0,SUM(B64:G64))</f>
        <v>0</v>
      </c>
      <c r="J188" s="346"/>
      <c r="K188" s="347"/>
    </row>
    <row r="189" spans="1:15" ht="12" hidden="1" thickBot="1" x14ac:dyDescent="0.25">
      <c r="A189" s="277"/>
      <c r="B189" s="392"/>
      <c r="C189" s="392"/>
      <c r="D189" s="392"/>
      <c r="E189" s="395"/>
      <c r="F189" s="396"/>
      <c r="G189" s="397"/>
      <c r="I189" s="326">
        <f>IF(B9="",0,SUM(B65:G65))</f>
        <v>0</v>
      </c>
      <c r="J189" s="327"/>
      <c r="K189" s="328"/>
    </row>
    <row r="190" spans="1:15" ht="12" hidden="1" thickBot="1" x14ac:dyDescent="0.25">
      <c r="A190" s="297"/>
      <c r="B190" s="380"/>
      <c r="C190" s="380"/>
      <c r="D190" s="380"/>
      <c r="E190" s="381"/>
      <c r="F190" s="382"/>
      <c r="G190" s="383"/>
      <c r="I190" s="332">
        <f>IF(B9="",0,SUM(B66:G66))</f>
        <v>0</v>
      </c>
      <c r="J190" s="333"/>
      <c r="K190" s="334"/>
    </row>
    <row r="191" spans="1:15" hidden="1" x14ac:dyDescent="0.2">
      <c r="I191" s="16"/>
      <c r="J191" s="16"/>
      <c r="K191" s="21"/>
    </row>
    <row r="192" spans="1:15" hidden="1" x14ac:dyDescent="0.2">
      <c r="I192" s="16"/>
      <c r="J192" s="16"/>
      <c r="K192" s="21"/>
    </row>
    <row r="193" spans="1:17" hidden="1" x14ac:dyDescent="0.2">
      <c r="A193" s="257"/>
      <c r="B193" s="399" t="str">
        <f>IF(B34="TAIP","FAKTORINGO SĄNAUDOS","")</f>
        <v>FAKTORINGO SĄNAUDOS</v>
      </c>
      <c r="C193" s="399"/>
      <c r="D193" s="399"/>
      <c r="E193" s="399"/>
      <c r="F193" s="399"/>
      <c r="G193" s="400"/>
      <c r="I193" s="360" t="str">
        <f>IF(B34="TAIP","FAKTORINGO SĄNAUDOS","")</f>
        <v>FAKTORINGO SĄNAUDOS</v>
      </c>
      <c r="J193" s="361"/>
      <c r="K193" s="362"/>
    </row>
    <row r="194" spans="1:17" hidden="1" x14ac:dyDescent="0.2">
      <c r="A194" s="254" t="str">
        <f>IF(B34="TAIP","Suma be PVM","")</f>
        <v>Suma be PVM</v>
      </c>
      <c r="B194" s="416">
        <f>IF(B34="TAIP",IF(OR(AND(Paraiska!B6 = 1, Paraiska!B9=""),AND(Paraiska!B6 = 2, Paraiska!B9="", Paraiska!E9="")),0,IFERROR(ROUND((Support!D53-(((B31+B32)/SUM(B9:G9))*B9))*B37,2),0)),"")</f>
        <v>0</v>
      </c>
      <c r="C194" s="364"/>
      <c r="D194" s="417"/>
      <c r="E194" s="416">
        <f>IF(B34="TAIP",IF(E9="",0,IF(E9=0,0,ROUND(((Support!D53+Support!D73)-B31-B32)*B37,2)-B70)),"")</f>
        <v>0</v>
      </c>
      <c r="F194" s="364"/>
      <c r="G194" s="365"/>
      <c r="I194" s="363">
        <f>IF(B34="TAIP",IF(B9="",0,SUM(B70:G70)),"")</f>
        <v>0</v>
      </c>
      <c r="J194" s="364"/>
      <c r="K194" s="365"/>
    </row>
    <row r="195" spans="1:17" ht="12" hidden="1" thickBot="1" x14ac:dyDescent="0.25">
      <c r="A195" s="255" t="str">
        <f>IF(B34="TAIP","PVM","")</f>
        <v>PVM</v>
      </c>
      <c r="B195" s="418">
        <f>IF(B34="TAIP",IF(OR(AND(Paraiska!B6 = 1, Paraiska!B9=""),AND(Paraiska!B6 = 2, Paraiska!B9="", Paraiska!E9="")),0,ROUND(B70*0.21,2)),"")</f>
        <v>0</v>
      </c>
      <c r="C195" s="419"/>
      <c r="D195" s="420"/>
      <c r="E195" s="418">
        <f>IF(B34="TAIP",IF(E9="",0,IF(E9=0,0,ROUND((Support!D53+Support!D73-B31-B32)*B37*0.21,2)-B71)),"")</f>
        <v>0</v>
      </c>
      <c r="F195" s="419"/>
      <c r="G195" s="421"/>
      <c r="I195" s="363">
        <f>IF(B34="TAIP",IF(B9="",0,SUM(B71:G71)),"")</f>
        <v>0</v>
      </c>
      <c r="J195" s="364"/>
      <c r="K195" s="365"/>
    </row>
    <row r="196" spans="1:17" ht="12" hidden="1" thickBot="1" x14ac:dyDescent="0.25">
      <c r="A196" s="256" t="str">
        <f>IF(B34="TAIP","Faktoringo sąnaudos","")</f>
        <v>Faktoringo sąnaudos</v>
      </c>
      <c r="B196" s="422">
        <f>IF(B34="TAIP",IF(OR(AND(Paraiska!B6 = 1, Paraiska!B9=""),AND(Paraiska!B6 = 2, Paraiska!B9="", Paraiska!E9="")),0,SUM(B70:D71)),"")</f>
        <v>0</v>
      </c>
      <c r="C196" s="333"/>
      <c r="D196" s="381"/>
      <c r="E196" s="422">
        <f>IF(B34="TAIP",IF(E9="",0,SUM(E70:G71)),"")</f>
        <v>0</v>
      </c>
      <c r="F196" s="333"/>
      <c r="G196" s="334"/>
      <c r="I196" s="332">
        <f>IF(B34="TAIP",IF(B9="",0,SUM(B72:G72)),"")</f>
        <v>0</v>
      </c>
      <c r="J196" s="333"/>
      <c r="K196" s="334"/>
    </row>
    <row r="197" spans="1:17" hidden="1" x14ac:dyDescent="0.2">
      <c r="I197" s="16"/>
      <c r="J197" s="16"/>
      <c r="K197" s="21"/>
    </row>
    <row r="198" spans="1:17" hidden="1" x14ac:dyDescent="0.2">
      <c r="I198" s="16"/>
      <c r="J198" s="16"/>
      <c r="K198" s="21"/>
    </row>
    <row r="199" spans="1:17" hidden="1" x14ac:dyDescent="0.2">
      <c r="A199" s="298"/>
      <c r="B199" s="423" t="s">
        <v>155</v>
      </c>
      <c r="C199" s="423"/>
      <c r="D199" s="423"/>
      <c r="E199" s="423"/>
      <c r="F199" s="423"/>
      <c r="G199" s="423"/>
      <c r="I199" s="360" t="s">
        <v>155</v>
      </c>
      <c r="J199" s="361"/>
      <c r="K199" s="362"/>
    </row>
    <row r="200" spans="1:17" hidden="1" x14ac:dyDescent="0.2">
      <c r="A200" s="240" t="str">
        <f>IF(B34="TAIP","Faktoringo mokestis (sut. 4.1)","")</f>
        <v>Faktoringo mokestis (sut. 4.1)</v>
      </c>
      <c r="B200" s="384">
        <f>IF(B34="TAIP",IF(OR(AND(Paraiska!B6 = 1, Paraiska!B9=""),AND(Paraiska!B6 = 2, Paraiska!B9="", Paraiska!E9="")),0,IF(B47="FORMOJE YRA KLAIDŲ, PRAŠOME PATIKRINTI ĮVESTAS REIKŠMES",0,B72)),"")</f>
        <v>0</v>
      </c>
      <c r="C200" s="346"/>
      <c r="D200" s="385"/>
      <c r="E200" s="384">
        <f>IF(B34="TAIP",IF(E9="",0,IF(B47="FORMOJE YRA KLAIDŲ, PRAŠOME PATIKRINTI ĮVESTAS REIKŠMES",0,E72)),"")</f>
        <v>0</v>
      </c>
      <c r="F200" s="346"/>
      <c r="G200" s="347"/>
      <c r="I200" s="345">
        <f>IF(B34="TAIP",IF(B9="",0,SUM(B86:G86)),"")</f>
        <v>0</v>
      </c>
      <c r="J200" s="346"/>
      <c r="K200" s="347"/>
    </row>
    <row r="201" spans="1:17" hidden="1" x14ac:dyDescent="0.2">
      <c r="A201" s="240" t="s">
        <v>161</v>
      </c>
      <c r="B201" s="384">
        <f>IF(OR(AND(Paraiska!B6 = 1, Paraiska!B9=""),AND(Paraiska!B6 = 2, Paraiska!B9="", Paraiska!E9="")),0,IF(B12="TAIP",B59,0))</f>
        <v>0</v>
      </c>
      <c r="C201" s="346"/>
      <c r="D201" s="385"/>
      <c r="E201" s="384">
        <f>IF(E9="",0,IF(E12="TAIP",E59,0))</f>
        <v>0</v>
      </c>
      <c r="F201" s="346"/>
      <c r="G201" s="347"/>
      <c r="I201" s="345">
        <f>IF(B9="",0,SUM(B87:G87))</f>
        <v>0</v>
      </c>
      <c r="J201" s="346"/>
      <c r="K201" s="347"/>
    </row>
    <row r="202" spans="1:17" hidden="1" x14ac:dyDescent="0.2">
      <c r="A202" s="240" t="s">
        <v>162</v>
      </c>
      <c r="B202" s="384">
        <f>IF(OR(AND(Paraiska!B6 = 1, Paraiska!B9=""),AND(Paraiska!B6 = 2, Paraiska!B9="", Paraiska!E9="")),0,B40)</f>
        <v>0</v>
      </c>
      <c r="C202" s="346"/>
      <c r="D202" s="385"/>
      <c r="E202" s="384">
        <f>IF(E9="",0,E40)</f>
        <v>0</v>
      </c>
      <c r="F202" s="346"/>
      <c r="G202" s="347"/>
      <c r="I202" s="345">
        <f>IF(B9="",0,SUM(B88:G88))</f>
        <v>0</v>
      </c>
      <c r="J202" s="346"/>
      <c r="K202" s="347"/>
    </row>
    <row r="203" spans="1:17" ht="12" hidden="1" thickBot="1" x14ac:dyDescent="0.25">
      <c r="A203" s="240" t="s">
        <v>163</v>
      </c>
      <c r="B203" s="384">
        <f>IF(OR(AND(Paraiska!B6 = 1, Paraiska!B9=""),AND(Paraiska!B6 = 2, Paraiska!B9="", Paraiska!E9="")),0,B66)</f>
        <v>0</v>
      </c>
      <c r="C203" s="346"/>
      <c r="D203" s="385"/>
      <c r="E203" s="384">
        <f>IF(E9="",0,E66)</f>
        <v>0</v>
      </c>
      <c r="F203" s="346"/>
      <c r="G203" s="347"/>
      <c r="I203" s="326">
        <f>IF(B9="",0,SUM(B89:G89))</f>
        <v>0</v>
      </c>
      <c r="J203" s="327"/>
      <c r="K203" s="328"/>
    </row>
    <row r="204" spans="1:17" ht="14.25" x14ac:dyDescent="0.2">
      <c r="B204" s="127" t="s">
        <v>195</v>
      </c>
      <c r="C204" s="128"/>
      <c r="D204" s="129"/>
    </row>
    <row r="205" spans="1:17" x14ac:dyDescent="0.2">
      <c r="I205" s="299"/>
      <c r="J205" s="299"/>
      <c r="K205" s="299"/>
    </row>
    <row r="206" spans="1:17" x14ac:dyDescent="0.2">
      <c r="I206" s="16"/>
      <c r="J206" s="16"/>
      <c r="K206" s="21"/>
    </row>
    <row r="207" spans="1:17" ht="12.75" x14ac:dyDescent="0.2">
      <c r="B207" s="130" t="s">
        <v>196</v>
      </c>
      <c r="C207" s="96"/>
      <c r="D207" s="96"/>
      <c r="E207" s="96"/>
      <c r="F207" s="96"/>
      <c r="G207" s="96"/>
      <c r="H207" s="96"/>
      <c r="I207" s="97"/>
      <c r="J207" s="97"/>
      <c r="K207" s="98"/>
      <c r="L207" s="96"/>
      <c r="M207" s="96"/>
      <c r="N207" s="96"/>
      <c r="O207" s="96"/>
      <c r="P207" s="96"/>
      <c r="Q207" s="99"/>
    </row>
    <row r="208" spans="1:17" x14ac:dyDescent="0.2">
      <c r="I208" s="16"/>
      <c r="J208" s="16"/>
      <c r="K208" s="21"/>
    </row>
  </sheetData>
  <sheetProtection algorithmName="SHA-512" hashValue="Am4Fl9lT/J8QiTxnHg10lLerEbBK/g9BAgrMhhAdPtR+WLFGA7hPyA4hby63XQGJyNQ99Ekq12Xl0vhW0ozsPg==" saltValue="HmlOP9N6q6ZazsKc1tY+vg==" spinCount="100000" sheet="1" objects="1" scenarios="1"/>
  <dataConsolidate/>
  <mergeCells count="282">
    <mergeCell ref="I21:K21"/>
    <mergeCell ref="I42:K42"/>
    <mergeCell ref="B29:G29"/>
    <mergeCell ref="B27:D27"/>
    <mergeCell ref="B55:G55"/>
    <mergeCell ref="B57:G57"/>
    <mergeCell ref="E58:G58"/>
    <mergeCell ref="B35:G35"/>
    <mergeCell ref="B42:G42"/>
    <mergeCell ref="B43:G43"/>
    <mergeCell ref="B36:G36"/>
    <mergeCell ref="B58:D58"/>
    <mergeCell ref="B28:G28"/>
    <mergeCell ref="B53:D53"/>
    <mergeCell ref="B41:G41"/>
    <mergeCell ref="I28:K28"/>
    <mergeCell ref="I39:K39"/>
    <mergeCell ref="I27:K27"/>
    <mergeCell ref="I23:K23"/>
    <mergeCell ref="I22:K22"/>
    <mergeCell ref="B26:D26"/>
    <mergeCell ref="E26:G26"/>
    <mergeCell ref="E53:G53"/>
    <mergeCell ref="I53:K53"/>
    <mergeCell ref="L41:T41"/>
    <mergeCell ref="I84:K84"/>
    <mergeCell ref="I92:K92"/>
    <mergeCell ref="B65:D65"/>
    <mergeCell ref="B76:D76"/>
    <mergeCell ref="B72:D72"/>
    <mergeCell ref="E85:G85"/>
    <mergeCell ref="E83:G83"/>
    <mergeCell ref="I66:K66"/>
    <mergeCell ref="I55:K55"/>
    <mergeCell ref="I71:K71"/>
    <mergeCell ref="I70:K70"/>
    <mergeCell ref="I65:K65"/>
    <mergeCell ref="I64:K64"/>
    <mergeCell ref="I58:K58"/>
    <mergeCell ref="I43:K43"/>
    <mergeCell ref="I57:K57"/>
    <mergeCell ref="I60:K60"/>
    <mergeCell ref="I41:K41"/>
    <mergeCell ref="E64:G64"/>
    <mergeCell ref="B64:D64"/>
    <mergeCell ref="E65:G65"/>
    <mergeCell ref="I78:K78"/>
    <mergeCell ref="B66:D66"/>
    <mergeCell ref="E89:G89"/>
    <mergeCell ref="B91:D91"/>
    <mergeCell ref="E93:G93"/>
    <mergeCell ref="B112:G112"/>
    <mergeCell ref="B1:G1"/>
    <mergeCell ref="B13:G13"/>
    <mergeCell ref="B21:G21"/>
    <mergeCell ref="B23:G23"/>
    <mergeCell ref="E59:G59"/>
    <mergeCell ref="E60:G60"/>
    <mergeCell ref="B82:D82"/>
    <mergeCell ref="B38:G38"/>
    <mergeCell ref="B69:G69"/>
    <mergeCell ref="E66:G66"/>
    <mergeCell ref="B40:D40"/>
    <mergeCell ref="B10:D10"/>
    <mergeCell ref="B12:D12"/>
    <mergeCell ref="B60:D60"/>
    <mergeCell ref="B59:D59"/>
    <mergeCell ref="B63:G63"/>
    <mergeCell ref="E82:G82"/>
    <mergeCell ref="E9:G9"/>
    <mergeCell ref="E12:G12"/>
    <mergeCell ref="B20:G20"/>
    <mergeCell ref="B81:G81"/>
    <mergeCell ref="B75:G75"/>
    <mergeCell ref="B87:D87"/>
    <mergeCell ref="B78:D78"/>
    <mergeCell ref="E86:G86"/>
    <mergeCell ref="B32:G32"/>
    <mergeCell ref="B31:G31"/>
    <mergeCell ref="B30:G30"/>
    <mergeCell ref="B39:D39"/>
    <mergeCell ref="B85:D85"/>
    <mergeCell ref="B83:D83"/>
    <mergeCell ref="B37:G37"/>
    <mergeCell ref="B52:D52"/>
    <mergeCell ref="E52:G52"/>
    <mergeCell ref="B4:G4"/>
    <mergeCell ref="B6:G6"/>
    <mergeCell ref="B77:D77"/>
    <mergeCell ref="B71:D71"/>
    <mergeCell ref="B70:D70"/>
    <mergeCell ref="E78:G78"/>
    <mergeCell ref="E77:G77"/>
    <mergeCell ref="E76:G76"/>
    <mergeCell ref="E72:G72"/>
    <mergeCell ref="E71:G71"/>
    <mergeCell ref="E70:G70"/>
    <mergeCell ref="B11:G11"/>
    <mergeCell ref="B22:G22"/>
    <mergeCell ref="B9:D9"/>
    <mergeCell ref="E27:G27"/>
    <mergeCell ref="B155:D155"/>
    <mergeCell ref="B156:D156"/>
    <mergeCell ref="B133:D133"/>
    <mergeCell ref="B90:D90"/>
    <mergeCell ref="B89:D89"/>
    <mergeCell ref="B88:D88"/>
    <mergeCell ref="E88:G88"/>
    <mergeCell ref="B102:D102"/>
    <mergeCell ref="E87:G87"/>
    <mergeCell ref="B122:G122"/>
    <mergeCell ref="B121:G121"/>
    <mergeCell ref="B119:G119"/>
    <mergeCell ref="B118:G118"/>
    <mergeCell ref="B117:G117"/>
    <mergeCell ref="B115:G115"/>
    <mergeCell ref="B143:G143"/>
    <mergeCell ref="B137:G137"/>
    <mergeCell ref="B136:G136"/>
    <mergeCell ref="B132:G132"/>
    <mergeCell ref="B154:D154"/>
    <mergeCell ref="E133:G133"/>
    <mergeCell ref="B93:D93"/>
    <mergeCell ref="E91:G91"/>
    <mergeCell ref="E90:G90"/>
    <mergeCell ref="I69:K69"/>
    <mergeCell ref="I88:K88"/>
    <mergeCell ref="I72:K72"/>
    <mergeCell ref="I91:K91"/>
    <mergeCell ref="I87:K87"/>
    <mergeCell ref="I86:K86"/>
    <mergeCell ref="I33:K33"/>
    <mergeCell ref="I34:K34"/>
    <mergeCell ref="B24:G24"/>
    <mergeCell ref="I32:K32"/>
    <mergeCell ref="B34:G34"/>
    <mergeCell ref="B33:G33"/>
    <mergeCell ref="I40:K40"/>
    <mergeCell ref="I37:K37"/>
    <mergeCell ref="I38:K38"/>
    <mergeCell ref="I35:K35"/>
    <mergeCell ref="I36:K36"/>
    <mergeCell ref="E40:G40"/>
    <mergeCell ref="I26:K26"/>
    <mergeCell ref="I25:K25"/>
    <mergeCell ref="I24:K24"/>
    <mergeCell ref="I31:K31"/>
    <mergeCell ref="E39:G39"/>
    <mergeCell ref="B25:G25"/>
    <mergeCell ref="I4:K4"/>
    <mergeCell ref="I63:K63"/>
    <mergeCell ref="I59:K59"/>
    <mergeCell ref="I118:K118"/>
    <mergeCell ref="I115:K115"/>
    <mergeCell ref="I114:K114"/>
    <mergeCell ref="I111:K111"/>
    <mergeCell ref="I82:K82"/>
    <mergeCell ref="I81:K81"/>
    <mergeCell ref="I90:K90"/>
    <mergeCell ref="I10:K10"/>
    <mergeCell ref="I11:K11"/>
    <mergeCell ref="I12:K12"/>
    <mergeCell ref="I20:K20"/>
    <mergeCell ref="I29:K29"/>
    <mergeCell ref="I30:K30"/>
    <mergeCell ref="I8:K8"/>
    <mergeCell ref="I75:K75"/>
    <mergeCell ref="I76:K76"/>
    <mergeCell ref="I83:K83"/>
    <mergeCell ref="I77:K77"/>
    <mergeCell ref="I93:K93"/>
    <mergeCell ref="I112:K112"/>
    <mergeCell ref="I85:K85"/>
    <mergeCell ref="B203:D203"/>
    <mergeCell ref="B193:G193"/>
    <mergeCell ref="B194:D194"/>
    <mergeCell ref="E194:G194"/>
    <mergeCell ref="B195:D195"/>
    <mergeCell ref="E195:G195"/>
    <mergeCell ref="B196:D196"/>
    <mergeCell ref="E196:G196"/>
    <mergeCell ref="B199:G199"/>
    <mergeCell ref="E202:G202"/>
    <mergeCell ref="E203:G203"/>
    <mergeCell ref="B201:D201"/>
    <mergeCell ref="B202:D202"/>
    <mergeCell ref="I201:K201"/>
    <mergeCell ref="I200:K200"/>
    <mergeCell ref="F178:F182"/>
    <mergeCell ref="G178:G182"/>
    <mergeCell ref="E200:G200"/>
    <mergeCell ref="E201:G201"/>
    <mergeCell ref="I176:K176"/>
    <mergeCell ref="I132:K132"/>
    <mergeCell ref="I133:K133"/>
    <mergeCell ref="I134:K134"/>
    <mergeCell ref="I135:K135"/>
    <mergeCell ref="I136:K136"/>
    <mergeCell ref="I137:K137"/>
    <mergeCell ref="E156:G156"/>
    <mergeCell ref="E155:G155"/>
    <mergeCell ref="E154:G154"/>
    <mergeCell ref="B139:G139"/>
    <mergeCell ref="B138:G138"/>
    <mergeCell ref="B148:G148"/>
    <mergeCell ref="B147:G147"/>
    <mergeCell ref="B146:G146"/>
    <mergeCell ref="B145:G145"/>
    <mergeCell ref="B144:G144"/>
    <mergeCell ref="B134:G134"/>
    <mergeCell ref="E189:G189"/>
    <mergeCell ref="I117:K117"/>
    <mergeCell ref="I113:K113"/>
    <mergeCell ref="B153:G153"/>
    <mergeCell ref="B149:G149"/>
    <mergeCell ref="I199:K199"/>
    <mergeCell ref="E178:E182"/>
    <mergeCell ref="B84:D84"/>
    <mergeCell ref="B142:G142"/>
    <mergeCell ref="B141:G141"/>
    <mergeCell ref="B140:G140"/>
    <mergeCell ref="E116:G116"/>
    <mergeCell ref="B114:G114"/>
    <mergeCell ref="B113:G113"/>
    <mergeCell ref="B86:D86"/>
    <mergeCell ref="I122:K122"/>
    <mergeCell ref="I121:K121"/>
    <mergeCell ref="I119:K119"/>
    <mergeCell ref="B111:G111"/>
    <mergeCell ref="B131:D131"/>
    <mergeCell ref="E131:G131"/>
    <mergeCell ref="I89:K89"/>
    <mergeCell ref="B135:G135"/>
    <mergeCell ref="B92:D92"/>
    <mergeCell ref="I189:K189"/>
    <mergeCell ref="I190:K190"/>
    <mergeCell ref="I193:K193"/>
    <mergeCell ref="I194:K194"/>
    <mergeCell ref="I195:K195"/>
    <mergeCell ref="B5:G5"/>
    <mergeCell ref="I202:K202"/>
    <mergeCell ref="B7:G7"/>
    <mergeCell ref="I7:K7"/>
    <mergeCell ref="B8:D8"/>
    <mergeCell ref="E8:G8"/>
    <mergeCell ref="E10:G10"/>
    <mergeCell ref="I9:K9"/>
    <mergeCell ref="B190:D190"/>
    <mergeCell ref="E190:G190"/>
    <mergeCell ref="B200:D200"/>
    <mergeCell ref="B178:B182"/>
    <mergeCell ref="C178:C182"/>
    <mergeCell ref="D178:D182"/>
    <mergeCell ref="B176:G176"/>
    <mergeCell ref="B187:G187"/>
    <mergeCell ref="B188:D188"/>
    <mergeCell ref="E188:G188"/>
    <mergeCell ref="B189:D189"/>
    <mergeCell ref="I203:K203"/>
    <mergeCell ref="I178:I182"/>
    <mergeCell ref="J178:J182"/>
    <mergeCell ref="K178:K182"/>
    <mergeCell ref="I196:K196"/>
    <mergeCell ref="I165:K165"/>
    <mergeCell ref="I138:K138"/>
    <mergeCell ref="I139:K139"/>
    <mergeCell ref="I140:K140"/>
    <mergeCell ref="I141:K141"/>
    <mergeCell ref="I142:K142"/>
    <mergeCell ref="I143:K143"/>
    <mergeCell ref="I144:K144"/>
    <mergeCell ref="I145:K145"/>
    <mergeCell ref="I146:K146"/>
    <mergeCell ref="I154:K154"/>
    <mergeCell ref="I147:K147"/>
    <mergeCell ref="I148:K148"/>
    <mergeCell ref="I149:K149"/>
    <mergeCell ref="I153:K153"/>
    <mergeCell ref="I155:K155"/>
    <mergeCell ref="I156:K156"/>
    <mergeCell ref="I187:K187"/>
    <mergeCell ref="I188:K188"/>
  </mergeCells>
  <conditionalFormatting sqref="E26">
    <cfRule type="expression" dxfId="8" priority="13">
      <formula>$B$26="Pasirinkti darbo tipo grupę"</formula>
    </cfRule>
  </conditionalFormatting>
  <conditionalFormatting sqref="B27 E27">
    <cfRule type="expression" dxfId="7" priority="12">
      <formula>$B$27="Pasirinkti darbo tipą"</formula>
    </cfRule>
  </conditionalFormatting>
  <conditionalFormatting sqref="B21:G21">
    <cfRule type="expression" dxfId="6" priority="11">
      <formula>$B$21="Pasirinkti administratoriaus pavadinimą"</formula>
    </cfRule>
  </conditionalFormatting>
  <conditionalFormatting sqref="B24:G24">
    <cfRule type="expression" dxfId="5" priority="10">
      <formula>$B$24="Pasirinkti namo valdymo formą"</formula>
    </cfRule>
  </conditionalFormatting>
  <conditionalFormatting sqref="B22:G22">
    <cfRule type="expression" dxfId="4" priority="9">
      <formula>$B$22="Vardenis Pavardenis"</formula>
    </cfRule>
  </conditionalFormatting>
  <conditionalFormatting sqref="B28:G28">
    <cfRule type="expression" dxfId="3" priority="3">
      <formula>$B$28=1</formula>
    </cfRule>
    <cfRule type="expression" dxfId="2" priority="5">
      <formula>$B$29=1</formula>
    </cfRule>
  </conditionalFormatting>
  <conditionalFormatting sqref="B2:G2">
    <cfRule type="expression" dxfId="1" priority="2">
      <formula>$B$22="Vardenis Pavardenis"</formula>
    </cfRule>
  </conditionalFormatting>
  <conditionalFormatting sqref="B5:G5">
    <cfRule type="expression" dxfId="0" priority="1">
      <formula>$B$22="Vardenis Pavardenis"</formula>
    </cfRule>
  </conditionalFormatting>
  <dataValidations xWindow="1060" yWindow="878" count="16">
    <dataValidation type="list" allowBlank="1" showInputMessage="1" showErrorMessage="1" sqref="B139" xr:uid="{E55F46FF-3282-484D-8B97-46B25052DA2C}">
      <formula1>"Namo administratorius, Bendrija, Jungtinės veiklos sutartis"</formula1>
    </dataValidation>
    <dataValidation type="list" allowBlank="1" showInputMessage="1" showErrorMessage="1" sqref="B13" xr:uid="{BCDA5EFC-A5A7-46C3-AA87-35EEC8D1540D}">
      <formula1>"PortalPRO, Ne PortalPRO"</formula1>
    </dataValidation>
    <dataValidation type="list" allowBlank="1" showInputMessage="1" showErrorMessage="1" sqref="B134" xr:uid="{CEC5567E-1239-4048-9317-10632E997D17}">
      <formula1>"PVM mokėtojas, Ne PVM mokėtojas"</formula1>
    </dataValidation>
    <dataValidation type="decimal" allowBlank="1" showInputMessage="1" showErrorMessage="1" errorTitle="Klaida" error="PortalPRO darbų vertė negali viršyti 3.000 EUR be PVM" sqref="I133:K133" xr:uid="{D0237111-74B1-49E2-BF5B-D6A5F3919A69}">
      <formula1>0</formula1>
      <formula2>3000</formula2>
    </dataValidation>
    <dataValidation allowBlank="1" showInputMessage="1" showErrorMessage="1" errorTitle="Klaida" error="Išsimokėjimo terminas paskaičiuojamas automatiškai, optimizuojant galutinę kainą" sqref="B35:G35" xr:uid="{CA20859B-D531-48A2-80FC-3A5AE6663BD6}"/>
    <dataValidation type="decimal" operator="greaterThan" allowBlank="1" showInputMessage="1" showErrorMessage="1" errorTitle="KLAIDA" error="Prašome įvesti reikšmę" sqref="B30 B28:G28" xr:uid="{7D89B8DA-1792-43B4-9C13-E50714F3C7FB}">
      <formula1>0</formula1>
    </dataValidation>
    <dataValidation allowBlank="1" showInputMessage="1" showErrorMessage="1" errorTitle="Dėmesio!" error="Prašome pasirinkti reikšmę iš sąrašo." sqref="I11:K11" xr:uid="{4B1ADAFB-E7A5-4A10-BD6E-C28A99BFBC0A}"/>
    <dataValidation type="list" allowBlank="1" showInputMessage="1" showErrorMessage="1" errorTitle="Dėmesio!" error="Prašome rinkis reikšmę iš sąrašo." sqref="B6" xr:uid="{7E6E7378-326F-45FF-84BF-F0F5580E6D8B}">
      <formula1>"1, 2"</formula1>
    </dataValidation>
    <dataValidation allowBlank="1" showErrorMessage="1" sqref="I12" xr:uid="{FA33C7A4-6D3D-4F40-A2BB-4B77289973D8}"/>
    <dataValidation type="custom" allowBlank="1" showInputMessage="1" showErrorMessage="1" errorTitle="Klaida" error="PortalPRO darbų vertė negali viršyti 3.000 EUR be PVM" sqref="B133:D133" xr:uid="{18FA55C9-BFD7-4234-BA5B-82147B0F6FF8}">
      <formula1>SUM(B133:G133)&lt;=3000</formula1>
    </dataValidation>
    <dataValidation type="custom" allowBlank="1" showInputMessage="1" showErrorMessage="1" errorTitle="Klaida" error="PortalPRO darbų vertė negali viršyti 3.000 EUR be PVM" sqref="E133:G133" xr:uid="{56BD8724-5178-403C-B3A9-4ABB4626F903}">
      <formula1>SUM(B133:G133)&lt;=3000</formula1>
    </dataValidation>
    <dataValidation type="list" allowBlank="1" showInputMessage="1" showErrorMessage="1" errorTitle="Dėmesio!" error="Prašome pasirinkti reikšmę iš sąrašo" sqref="B11:G11" xr:uid="{D8EB4194-65C2-4309-BAE9-28F635ACB82D}">
      <formula1>"PVM moketojas, PVM moketojas - PVM neapmokestinama veikla (ne rangos darbai), Ne PVM moketojas - rangos darbai, Ne PVM moketojas - ne rangos darbai,"</formula1>
    </dataValidation>
    <dataValidation type="list" allowBlank="1" showInputMessage="1" showErrorMessage="1" sqref="E26" xr:uid="{82FAFF01-5E52-4CA7-AB47-2344783D0177}">
      <formula1>Darbo_Tipo_Grupė</formula1>
    </dataValidation>
    <dataValidation type="list" allowBlank="1" showInputMessage="1" showErrorMessage="1" sqref="B24:G24" xr:uid="{ED0EB347-26AB-41B1-A647-2A7253177A04}">
      <formula1>"Pasirinkti namo valdymo formą, Namo administratorius, Bendrija, Jungtinės veiklos sutartis"</formula1>
    </dataValidation>
    <dataValidation operator="greaterThan" showInputMessage="1" showErrorMessage="1" errorTitle="KLAIDA" error="Prašome įvesti reikšmę" sqref="B29:G29" xr:uid="{6F12AFE7-4F7F-439A-B412-5983F80F0A91}"/>
    <dataValidation type="list" allowBlank="1" showInputMessage="1" showErrorMessage="1" sqref="B5:G5" xr:uid="{4302F748-5146-4EC9-A1F1-62CD41BC5850}">
      <formula1>"Pasirinkite, ar pageidaujate gauti išsimokėjimą darbams?,TAIP, NE"</formula1>
    </dataValidation>
  </dataValidations>
  <pageMargins left="0.7" right="0.7" top="0.75" bottom="0.75" header="0.3" footer="0.3"/>
  <pageSetup paperSize="9" orientation="portrait" r:id="rId1"/>
  <customProperties>
    <customPr name="EpmWorksheetKeyString_GUID" r:id="rId2"/>
    <customPr name="FPMExcelClientCellBasedFunctionStatus" r:id="rId3"/>
  </customPropertie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6" r:id="rId6" name="Button 8">
              <controlPr defaultSize="0" print="0" autoFill="0" autoPict="0" macro="[0]!Pirminisvaizdas">
                <anchor moveWithCells="1" sizeWithCells="1">
                  <from>
                    <xdr:col>14</xdr:col>
                    <xdr:colOff>19050</xdr:colOff>
                    <xdr:row>0</xdr:row>
                    <xdr:rowOff>0</xdr:rowOff>
                  </from>
                  <to>
                    <xdr:col>15</xdr:col>
                    <xdr:colOff>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7" name="Button 27">
              <controlPr defaultSize="0" print="0" autoFill="0" autoPict="0" macro="[0]!Pirkimai">
                <anchor moveWithCells="1" sizeWithCells="1">
                  <from>
                    <xdr:col>17</xdr:col>
                    <xdr:colOff>800100</xdr:colOff>
                    <xdr:row>0</xdr:row>
                    <xdr:rowOff>0</xdr:rowOff>
                  </from>
                  <to>
                    <xdr:col>19</xdr:col>
                    <xdr:colOff>581025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8" name="Button 33">
              <controlPr defaultSize="0" print="0" autoFill="0" autoPict="0" macro="[0]!SendWorkBook">
                <anchor moveWithCells="1" sizeWithCells="1">
                  <from>
                    <xdr:col>19</xdr:col>
                    <xdr:colOff>762000</xdr:colOff>
                    <xdr:row>0</xdr:row>
                    <xdr:rowOff>0</xdr:rowOff>
                  </from>
                  <to>
                    <xdr:col>20</xdr:col>
                    <xdr:colOff>762000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9" name="Button 38">
              <controlPr defaultSize="0" print="0" autoFill="0" autoPict="0" macro="[0]!Pardavimai">
                <anchor moveWithCells="1" sizeWithCells="1">
                  <from>
                    <xdr:col>16</xdr:col>
                    <xdr:colOff>828675</xdr:colOff>
                    <xdr:row>0</xdr:row>
                    <xdr:rowOff>0</xdr:rowOff>
                  </from>
                  <to>
                    <xdr:col>17</xdr:col>
                    <xdr:colOff>790575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10" name="Button 39">
              <controlPr defaultSize="0" print="0" autoFill="0" autoPict="0" macro="[0]!Rangovas">
                <anchor moveWithCells="1" sizeWithCells="1">
                  <from>
                    <xdr:col>15</xdr:col>
                    <xdr:colOff>57150</xdr:colOff>
                    <xdr:row>0</xdr:row>
                    <xdr:rowOff>9525</xdr:rowOff>
                  </from>
                  <to>
                    <xdr:col>16</xdr:col>
                    <xdr:colOff>819150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1060" yWindow="878" count="9">
        <x14:dataValidation type="list" allowBlank="1" showInputMessage="1" showErrorMessage="1" xr:uid="{55DA65A0-171C-450B-B504-1B4463CB6360}">
          <x14:formula1>
            <xm:f>'Darbu Sarasas'!$F$1:$F$55</xm:f>
          </x14:formula1>
          <xm:sqref>B27:D27</xm:sqref>
        </x14:dataValidation>
        <x14:dataValidation type="list" allowBlank="1" showInputMessage="1" showErrorMessage="1" xr:uid="{E4CD4091-CD84-495D-8EF3-871CECC64223}">
          <x14:formula1>
            <xm:f>IF($B$41="TAIP",Support!$A$4,Support!$A$4:$A$5)</xm:f>
          </x14:formula1>
          <xm:sqref>B42:G42</xm:sqref>
        </x14:dataValidation>
        <x14:dataValidation type="list" allowBlank="1" showInputMessage="1" showErrorMessage="1" xr:uid="{E2E8A5F1-0B38-4D44-A910-38427CEE1F37}">
          <x14:formula1>
            <xm:f>'Darbu Sarasas'!$F$1:$F$53</xm:f>
          </x14:formula1>
          <xm:sqref>E27:G27</xm:sqref>
        </x14:dataValidation>
        <x14:dataValidation type="list" allowBlank="1" showInputMessage="1" showErrorMessage="1" xr:uid="{FB2BE887-21B6-4E7C-A5EC-BCA5BF812B87}">
          <x14:formula1>
            <xm:f>OFFSET(Support!$A$7,1,MATCH($B$34,Support!$A$7:$B$7,0)-1,COUNTA(OFFSET(Support!$A$7,1,MATCH($B$34,Support!$A$7:$B$7,0)-1,7,1)),1)</xm:f>
          </x14:formula1>
          <xm:sqref>J36:K36</xm:sqref>
        </x14:dataValidation>
        <x14:dataValidation type="list" allowBlank="1" showInputMessage="1" showErrorMessage="1" xr:uid="{9A4997DD-D412-47A8-9F7A-A59CF873CCA6}">
          <x14:formula1>
            <xm:f>Support!$A$91:$A$103</xm:f>
          </x14:formula1>
          <xm:sqref>B136</xm:sqref>
        </x14:dataValidation>
        <x14:dataValidation type="list" allowBlank="1" showInputMessage="1" showErrorMessage="1" xr:uid="{728E7AEC-90D3-4C98-BE49-0DDB1280EAB1}">
          <x14:formula1>
            <xm:f>Support!$A$90:$A$105</xm:f>
          </x14:formula1>
          <xm:sqref>B21:G21</xm:sqref>
        </x14:dataValidation>
        <x14:dataValidation type="list" allowBlank="1" showInputMessage="1" showErrorMessage="1" xr:uid="{FBAEB1A3-6F29-4714-9010-2D3DAB79DAA9}">
          <x14:formula1>
            <xm:f>IF(AND(($B$10+$E$10)&lt;=3300,$B$36&lt;=0.1,$B$10&lt;&gt;"",$B$36&lt;&gt;"",Support!$B$181="TAIP",$B$42&lt;&gt;"TAIP"),Support!$A$4:$A$5,Support!$A$4)</xm:f>
          </x14:formula1>
          <xm:sqref>B41:G41</xm:sqref>
        </x14:dataValidation>
        <x14:dataValidation type="list" allowBlank="1" showInputMessage="1" showErrorMessage="1" xr:uid="{D964F67F-50FB-4A61-B849-F1D16AA013B6}">
          <x14:formula1>
            <xm:f>Support!$O$3:$O$5</xm:f>
          </x14:formula1>
          <xm:sqref>E52:G52</xm:sqref>
        </x14:dataValidation>
        <x14:dataValidation type="list" allowBlank="1" showInputMessage="1" showErrorMessage="1" xr:uid="{E384D390-D910-4F8E-ABA4-6720789AE66A}">
          <x14:formula1>
            <xm:f>OFFSET(Support!N30,1,MATCH(Support!$S$31,Support!$N$30:$O$30,0)-1,COUNTA(OFFSET(Support!$N$30,1,MATCH(Support!$S$31,Support!$N$30:$O$30,0)-1,2,1)),1)</xm:f>
          </x14:formula1>
          <xm:sqref>B52:D52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76CA1-05AD-43E0-B885-73DFD652C741}">
  <sheetPr codeName="Sheet5"/>
  <dimension ref="A1:F57"/>
  <sheetViews>
    <sheetView showGridLines="0" zoomScaleNormal="100" workbookViewId="0">
      <pane xSplit="1" ySplit="8" topLeftCell="B9" activePane="bottomRight" state="frozen"/>
      <selection pane="topRight" activeCell="D1" sqref="D1"/>
      <selection pane="bottomLeft" activeCell="A3" sqref="A3"/>
      <selection pane="bottomRight" activeCell="H23" sqref="H23"/>
    </sheetView>
  </sheetViews>
  <sheetFormatPr defaultColWidth="9.28515625" defaultRowHeight="11.25" x14ac:dyDescent="0.2"/>
  <cols>
    <col min="1" max="1" width="2.140625" style="7" customWidth="1"/>
    <col min="2" max="2" width="7.85546875" style="7" hidden="1" customWidth="1"/>
    <col min="3" max="6" width="11.7109375" style="7" customWidth="1"/>
    <col min="7" max="16384" width="9.28515625" style="7"/>
  </cols>
  <sheetData>
    <row r="1" spans="1:6" x14ac:dyDescent="0.2">
      <c r="C1" s="511" t="s">
        <v>111</v>
      </c>
      <c r="D1" s="478"/>
      <c r="E1" s="478"/>
      <c r="F1" s="512"/>
    </row>
    <row r="2" spans="1:6" ht="12" thickBot="1" x14ac:dyDescent="0.25">
      <c r="C2" s="513" t="s">
        <v>197</v>
      </c>
      <c r="D2" s="514"/>
      <c r="E2" s="514"/>
      <c r="F2" s="515"/>
    </row>
    <row r="3" spans="1:6" x14ac:dyDescent="0.2">
      <c r="C3" s="10" t="s">
        <v>198</v>
      </c>
      <c r="D3" s="518">
        <f>IF(Paraiska!B13="PortalPRO",IF(Paraiska!B148="TAIP",6,1),VLOOKUP(Paraiska!B35,Support!$A$18:$J$25,10,0))</f>
        <v>48</v>
      </c>
      <c r="E3" s="518"/>
      <c r="F3" s="519"/>
    </row>
    <row r="4" spans="1:6" x14ac:dyDescent="0.2">
      <c r="C4" s="11" t="s">
        <v>51</v>
      </c>
      <c r="D4" s="330">
        <f>IF(Paraiska!B13="PortalPRO",Paraiska!D164,Paraiska!I85)</f>
        <v>15749.19</v>
      </c>
      <c r="E4" s="330"/>
      <c r="F4" s="331"/>
    </row>
    <row r="5" spans="1:6" ht="12" thickBot="1" x14ac:dyDescent="0.25">
      <c r="C5" s="12" t="s">
        <v>199</v>
      </c>
      <c r="D5" s="516">
        <v>44311</v>
      </c>
      <c r="E5" s="516"/>
      <c r="F5" s="517"/>
    </row>
    <row r="6" spans="1:6" s="29" customFormat="1" x14ac:dyDescent="0.2">
      <c r="D6" s="58">
        <f>EOMONTH(C9,D3-1)</f>
        <v>45747</v>
      </c>
    </row>
    <row r="7" spans="1:6" x14ac:dyDescent="0.2">
      <c r="B7" s="510" t="s">
        <v>200</v>
      </c>
      <c r="C7" s="510"/>
      <c r="D7" s="510"/>
      <c r="E7" s="510"/>
      <c r="F7" s="510"/>
    </row>
    <row r="8" spans="1:6" ht="24.75" x14ac:dyDescent="0.2">
      <c r="B8" s="9" t="s">
        <v>201</v>
      </c>
      <c r="C8" s="9" t="s">
        <v>202</v>
      </c>
      <c r="D8" s="9" t="s">
        <v>203</v>
      </c>
      <c r="E8" s="9" t="s">
        <v>204</v>
      </c>
      <c r="F8" s="9" t="s">
        <v>205</v>
      </c>
    </row>
    <row r="9" spans="1:6" x14ac:dyDescent="0.2">
      <c r="B9" s="7">
        <v>1</v>
      </c>
      <c r="C9" s="15">
        <f>IF($B$9&gt;$D$3,"",EOMONTH(D5,0))</f>
        <v>44316</v>
      </c>
      <c r="D9" s="16">
        <f>D4</f>
        <v>15749.19</v>
      </c>
      <c r="E9" s="16">
        <f>IF(C9=$D$6,D9,ROUND(IF($D$4/$D$3&gt;D9,D9,$D$4/$D$3),2))</f>
        <v>328.11</v>
      </c>
      <c r="F9" s="16">
        <f>D9-E9</f>
        <v>15421.08</v>
      </c>
    </row>
    <row r="10" spans="1:6" x14ac:dyDescent="0.2">
      <c r="B10" s="7">
        <v>2</v>
      </c>
      <c r="C10" s="15">
        <f t="shared" ref="C10:C56" si="0">IF(B10&gt;$D$3,"",EOMONTH(C9,1))</f>
        <v>44347</v>
      </c>
      <c r="D10" s="16">
        <f>F9</f>
        <v>15421.08</v>
      </c>
      <c r="E10" s="16">
        <f t="shared" ref="E10:E56" si="1">IF(C10=$D$6,D10,ROUND(IF($D$4/$D$3&gt;D10,D10,$D$4/$D$3),2))</f>
        <v>328.11</v>
      </c>
      <c r="F10" s="16">
        <f t="shared" ref="F10:F56" si="2">D10-E10</f>
        <v>15092.97</v>
      </c>
    </row>
    <row r="11" spans="1:6" x14ac:dyDescent="0.2">
      <c r="B11" s="7">
        <v>3</v>
      </c>
      <c r="C11" s="15">
        <f t="shared" si="0"/>
        <v>44377</v>
      </c>
      <c r="D11" s="16">
        <f t="shared" ref="D11:D56" si="3">F10</f>
        <v>15092.97</v>
      </c>
      <c r="E11" s="16">
        <f t="shared" si="1"/>
        <v>328.11</v>
      </c>
      <c r="F11" s="16">
        <f t="shared" si="2"/>
        <v>14764.859999999999</v>
      </c>
    </row>
    <row r="12" spans="1:6" x14ac:dyDescent="0.2">
      <c r="B12" s="7">
        <v>4</v>
      </c>
      <c r="C12" s="15">
        <f t="shared" si="0"/>
        <v>44408</v>
      </c>
      <c r="D12" s="16">
        <f t="shared" si="3"/>
        <v>14764.859999999999</v>
      </c>
      <c r="E12" s="16">
        <f t="shared" si="1"/>
        <v>328.11</v>
      </c>
      <c r="F12" s="16">
        <f t="shared" si="2"/>
        <v>14436.749999999998</v>
      </c>
    </row>
    <row r="13" spans="1:6" x14ac:dyDescent="0.2">
      <c r="B13" s="7">
        <v>5</v>
      </c>
      <c r="C13" s="15">
        <f t="shared" si="0"/>
        <v>44439</v>
      </c>
      <c r="D13" s="16">
        <f t="shared" si="3"/>
        <v>14436.749999999998</v>
      </c>
      <c r="E13" s="16">
        <f t="shared" si="1"/>
        <v>328.11</v>
      </c>
      <c r="F13" s="16">
        <f t="shared" si="2"/>
        <v>14108.639999999998</v>
      </c>
    </row>
    <row r="14" spans="1:6" x14ac:dyDescent="0.2">
      <c r="B14" s="7">
        <v>6</v>
      </c>
      <c r="C14" s="15">
        <f t="shared" si="0"/>
        <v>44469</v>
      </c>
      <c r="D14" s="16">
        <f t="shared" si="3"/>
        <v>14108.639999999998</v>
      </c>
      <c r="E14" s="16">
        <f t="shared" si="1"/>
        <v>328.11</v>
      </c>
      <c r="F14" s="16">
        <f t="shared" si="2"/>
        <v>13780.529999999997</v>
      </c>
    </row>
    <row r="15" spans="1:6" x14ac:dyDescent="0.2">
      <c r="B15" s="7">
        <v>7</v>
      </c>
      <c r="C15" s="15">
        <f t="shared" si="0"/>
        <v>44500</v>
      </c>
      <c r="D15" s="16">
        <f t="shared" si="3"/>
        <v>13780.529999999997</v>
      </c>
      <c r="E15" s="16">
        <f t="shared" si="1"/>
        <v>328.11</v>
      </c>
      <c r="F15" s="16">
        <f t="shared" si="2"/>
        <v>13452.419999999996</v>
      </c>
    </row>
    <row r="16" spans="1:6" x14ac:dyDescent="0.2">
      <c r="A16" s="13"/>
      <c r="B16" s="7">
        <v>8</v>
      </c>
      <c r="C16" s="15">
        <f t="shared" si="0"/>
        <v>44530</v>
      </c>
      <c r="D16" s="16">
        <f t="shared" si="3"/>
        <v>13452.419999999996</v>
      </c>
      <c r="E16" s="16">
        <f t="shared" si="1"/>
        <v>328.11</v>
      </c>
      <c r="F16" s="16">
        <f t="shared" si="2"/>
        <v>13124.309999999996</v>
      </c>
    </row>
    <row r="17" spans="2:6" x14ac:dyDescent="0.2">
      <c r="B17" s="7">
        <v>9</v>
      </c>
      <c r="C17" s="15">
        <f t="shared" si="0"/>
        <v>44561</v>
      </c>
      <c r="D17" s="16">
        <f t="shared" si="3"/>
        <v>13124.309999999996</v>
      </c>
      <c r="E17" s="16">
        <f t="shared" si="1"/>
        <v>328.11</v>
      </c>
      <c r="F17" s="16">
        <f t="shared" si="2"/>
        <v>12796.199999999995</v>
      </c>
    </row>
    <row r="18" spans="2:6" x14ac:dyDescent="0.2">
      <c r="B18" s="7">
        <v>10</v>
      </c>
      <c r="C18" s="15">
        <f t="shared" si="0"/>
        <v>44592</v>
      </c>
      <c r="D18" s="16">
        <f t="shared" si="3"/>
        <v>12796.199999999995</v>
      </c>
      <c r="E18" s="16">
        <f t="shared" si="1"/>
        <v>328.11</v>
      </c>
      <c r="F18" s="16">
        <f t="shared" si="2"/>
        <v>12468.089999999995</v>
      </c>
    </row>
    <row r="19" spans="2:6" x14ac:dyDescent="0.2">
      <c r="B19" s="7">
        <v>11</v>
      </c>
      <c r="C19" s="15">
        <f t="shared" si="0"/>
        <v>44620</v>
      </c>
      <c r="D19" s="16">
        <f t="shared" si="3"/>
        <v>12468.089999999995</v>
      </c>
      <c r="E19" s="16">
        <f t="shared" si="1"/>
        <v>328.11</v>
      </c>
      <c r="F19" s="16">
        <f t="shared" si="2"/>
        <v>12139.979999999994</v>
      </c>
    </row>
    <row r="20" spans="2:6" x14ac:dyDescent="0.2">
      <c r="B20" s="7">
        <v>12</v>
      </c>
      <c r="C20" s="15">
        <f t="shared" si="0"/>
        <v>44651</v>
      </c>
      <c r="D20" s="16">
        <f t="shared" si="3"/>
        <v>12139.979999999994</v>
      </c>
      <c r="E20" s="16">
        <f t="shared" si="1"/>
        <v>328.11</v>
      </c>
      <c r="F20" s="16">
        <f t="shared" si="2"/>
        <v>11811.869999999994</v>
      </c>
    </row>
    <row r="21" spans="2:6" x14ac:dyDescent="0.2">
      <c r="B21" s="7">
        <v>13</v>
      </c>
      <c r="C21" s="15">
        <f t="shared" si="0"/>
        <v>44681</v>
      </c>
      <c r="D21" s="16">
        <f t="shared" si="3"/>
        <v>11811.869999999994</v>
      </c>
      <c r="E21" s="16">
        <f t="shared" si="1"/>
        <v>328.11</v>
      </c>
      <c r="F21" s="16">
        <f t="shared" si="2"/>
        <v>11483.759999999993</v>
      </c>
    </row>
    <row r="22" spans="2:6" x14ac:dyDescent="0.2">
      <c r="B22" s="7">
        <v>14</v>
      </c>
      <c r="C22" s="15">
        <f t="shared" si="0"/>
        <v>44712</v>
      </c>
      <c r="D22" s="16">
        <f t="shared" si="3"/>
        <v>11483.759999999993</v>
      </c>
      <c r="E22" s="16">
        <f t="shared" si="1"/>
        <v>328.11</v>
      </c>
      <c r="F22" s="16">
        <f t="shared" si="2"/>
        <v>11155.649999999992</v>
      </c>
    </row>
    <row r="23" spans="2:6" x14ac:dyDescent="0.2">
      <c r="B23" s="7">
        <v>15</v>
      </c>
      <c r="C23" s="15">
        <f t="shared" si="0"/>
        <v>44742</v>
      </c>
      <c r="D23" s="16">
        <f t="shared" si="3"/>
        <v>11155.649999999992</v>
      </c>
      <c r="E23" s="16">
        <f t="shared" si="1"/>
        <v>328.11</v>
      </c>
      <c r="F23" s="16">
        <f t="shared" si="2"/>
        <v>10827.539999999992</v>
      </c>
    </row>
    <row r="24" spans="2:6" x14ac:dyDescent="0.2">
      <c r="B24" s="7">
        <v>16</v>
      </c>
      <c r="C24" s="15">
        <f t="shared" si="0"/>
        <v>44773</v>
      </c>
      <c r="D24" s="16">
        <f t="shared" si="3"/>
        <v>10827.539999999992</v>
      </c>
      <c r="E24" s="16">
        <f t="shared" si="1"/>
        <v>328.11</v>
      </c>
      <c r="F24" s="16">
        <f t="shared" si="2"/>
        <v>10499.429999999991</v>
      </c>
    </row>
    <row r="25" spans="2:6" x14ac:dyDescent="0.2">
      <c r="B25" s="7">
        <v>17</v>
      </c>
      <c r="C25" s="15">
        <f t="shared" si="0"/>
        <v>44804</v>
      </c>
      <c r="D25" s="16">
        <f t="shared" si="3"/>
        <v>10499.429999999991</v>
      </c>
      <c r="E25" s="16">
        <f t="shared" si="1"/>
        <v>328.11</v>
      </c>
      <c r="F25" s="16">
        <f t="shared" si="2"/>
        <v>10171.319999999991</v>
      </c>
    </row>
    <row r="26" spans="2:6" x14ac:dyDescent="0.2">
      <c r="B26" s="7">
        <v>18</v>
      </c>
      <c r="C26" s="15">
        <f t="shared" si="0"/>
        <v>44834</v>
      </c>
      <c r="D26" s="16">
        <f t="shared" si="3"/>
        <v>10171.319999999991</v>
      </c>
      <c r="E26" s="16">
        <f t="shared" si="1"/>
        <v>328.11</v>
      </c>
      <c r="F26" s="16">
        <f t="shared" si="2"/>
        <v>9843.20999999999</v>
      </c>
    </row>
    <row r="27" spans="2:6" x14ac:dyDescent="0.2">
      <c r="B27" s="7">
        <v>19</v>
      </c>
      <c r="C27" s="15">
        <f t="shared" si="0"/>
        <v>44865</v>
      </c>
      <c r="D27" s="16">
        <f t="shared" si="3"/>
        <v>9843.20999999999</v>
      </c>
      <c r="E27" s="16">
        <f t="shared" si="1"/>
        <v>328.11</v>
      </c>
      <c r="F27" s="16">
        <f t="shared" si="2"/>
        <v>9515.0999999999894</v>
      </c>
    </row>
    <row r="28" spans="2:6" x14ac:dyDescent="0.2">
      <c r="B28" s="7">
        <v>20</v>
      </c>
      <c r="C28" s="15">
        <f t="shared" si="0"/>
        <v>44895</v>
      </c>
      <c r="D28" s="16">
        <f t="shared" si="3"/>
        <v>9515.0999999999894</v>
      </c>
      <c r="E28" s="16">
        <f t="shared" si="1"/>
        <v>328.11</v>
      </c>
      <c r="F28" s="16">
        <f t="shared" si="2"/>
        <v>9186.9899999999889</v>
      </c>
    </row>
    <row r="29" spans="2:6" x14ac:dyDescent="0.2">
      <c r="B29" s="7">
        <v>21</v>
      </c>
      <c r="C29" s="15">
        <f t="shared" si="0"/>
        <v>44926</v>
      </c>
      <c r="D29" s="16">
        <f t="shared" si="3"/>
        <v>9186.9899999999889</v>
      </c>
      <c r="E29" s="16">
        <f t="shared" si="1"/>
        <v>328.11</v>
      </c>
      <c r="F29" s="16">
        <f t="shared" si="2"/>
        <v>8858.8799999999883</v>
      </c>
    </row>
    <row r="30" spans="2:6" x14ac:dyDescent="0.2">
      <c r="B30" s="7">
        <v>22</v>
      </c>
      <c r="C30" s="15">
        <f t="shared" si="0"/>
        <v>44957</v>
      </c>
      <c r="D30" s="16">
        <f t="shared" si="3"/>
        <v>8858.8799999999883</v>
      </c>
      <c r="E30" s="16">
        <f t="shared" si="1"/>
        <v>328.11</v>
      </c>
      <c r="F30" s="16">
        <f t="shared" si="2"/>
        <v>8530.7699999999877</v>
      </c>
    </row>
    <row r="31" spans="2:6" x14ac:dyDescent="0.2">
      <c r="B31" s="7">
        <v>23</v>
      </c>
      <c r="C31" s="15">
        <f t="shared" si="0"/>
        <v>44985</v>
      </c>
      <c r="D31" s="16">
        <f t="shared" si="3"/>
        <v>8530.7699999999877</v>
      </c>
      <c r="E31" s="16">
        <f t="shared" si="1"/>
        <v>328.11</v>
      </c>
      <c r="F31" s="16">
        <f t="shared" si="2"/>
        <v>8202.6599999999871</v>
      </c>
    </row>
    <row r="32" spans="2:6" x14ac:dyDescent="0.2">
      <c r="B32" s="7">
        <v>24</v>
      </c>
      <c r="C32" s="15">
        <f t="shared" si="0"/>
        <v>45016</v>
      </c>
      <c r="D32" s="16">
        <f t="shared" si="3"/>
        <v>8202.6599999999871</v>
      </c>
      <c r="E32" s="16">
        <f t="shared" si="1"/>
        <v>328.11</v>
      </c>
      <c r="F32" s="16">
        <f t="shared" si="2"/>
        <v>7874.5499999999874</v>
      </c>
    </row>
    <row r="33" spans="2:6" x14ac:dyDescent="0.2">
      <c r="B33" s="7">
        <v>25</v>
      </c>
      <c r="C33" s="15">
        <f t="shared" si="0"/>
        <v>45046</v>
      </c>
      <c r="D33" s="16">
        <f t="shared" si="3"/>
        <v>7874.5499999999874</v>
      </c>
      <c r="E33" s="16">
        <f t="shared" si="1"/>
        <v>328.11</v>
      </c>
      <c r="F33" s="16">
        <f t="shared" si="2"/>
        <v>7546.4399999999878</v>
      </c>
    </row>
    <row r="34" spans="2:6" x14ac:dyDescent="0.2">
      <c r="B34" s="7">
        <v>26</v>
      </c>
      <c r="C34" s="15">
        <f t="shared" si="0"/>
        <v>45077</v>
      </c>
      <c r="D34" s="16">
        <f t="shared" si="3"/>
        <v>7546.4399999999878</v>
      </c>
      <c r="E34" s="16">
        <f t="shared" si="1"/>
        <v>328.11</v>
      </c>
      <c r="F34" s="16">
        <f t="shared" si="2"/>
        <v>7218.3299999999881</v>
      </c>
    </row>
    <row r="35" spans="2:6" x14ac:dyDescent="0.2">
      <c r="B35" s="7">
        <v>27</v>
      </c>
      <c r="C35" s="15">
        <f t="shared" si="0"/>
        <v>45107</v>
      </c>
      <c r="D35" s="16">
        <f t="shared" si="3"/>
        <v>7218.3299999999881</v>
      </c>
      <c r="E35" s="16">
        <f t="shared" si="1"/>
        <v>328.11</v>
      </c>
      <c r="F35" s="16">
        <f t="shared" si="2"/>
        <v>6890.2199999999884</v>
      </c>
    </row>
    <row r="36" spans="2:6" x14ac:dyDescent="0.2">
      <c r="B36" s="7">
        <v>28</v>
      </c>
      <c r="C36" s="15">
        <f t="shared" si="0"/>
        <v>45138</v>
      </c>
      <c r="D36" s="16">
        <f t="shared" si="3"/>
        <v>6890.2199999999884</v>
      </c>
      <c r="E36" s="16">
        <f t="shared" si="1"/>
        <v>328.11</v>
      </c>
      <c r="F36" s="16">
        <f t="shared" si="2"/>
        <v>6562.1099999999888</v>
      </c>
    </row>
    <row r="37" spans="2:6" x14ac:dyDescent="0.2">
      <c r="B37" s="7">
        <v>29</v>
      </c>
      <c r="C37" s="15">
        <f t="shared" si="0"/>
        <v>45169</v>
      </c>
      <c r="D37" s="16">
        <f t="shared" si="3"/>
        <v>6562.1099999999888</v>
      </c>
      <c r="E37" s="16">
        <f t="shared" si="1"/>
        <v>328.11</v>
      </c>
      <c r="F37" s="16">
        <f t="shared" si="2"/>
        <v>6233.9999999999891</v>
      </c>
    </row>
    <row r="38" spans="2:6" x14ac:dyDescent="0.2">
      <c r="B38" s="7">
        <v>30</v>
      </c>
      <c r="C38" s="15">
        <f t="shared" si="0"/>
        <v>45199</v>
      </c>
      <c r="D38" s="16">
        <f t="shared" si="3"/>
        <v>6233.9999999999891</v>
      </c>
      <c r="E38" s="16">
        <f t="shared" si="1"/>
        <v>328.11</v>
      </c>
      <c r="F38" s="16">
        <f t="shared" si="2"/>
        <v>5905.8899999999894</v>
      </c>
    </row>
    <row r="39" spans="2:6" x14ac:dyDescent="0.2">
      <c r="B39" s="7">
        <v>31</v>
      </c>
      <c r="C39" s="15">
        <f t="shared" si="0"/>
        <v>45230</v>
      </c>
      <c r="D39" s="16">
        <f t="shared" si="3"/>
        <v>5905.8899999999894</v>
      </c>
      <c r="E39" s="16">
        <f t="shared" si="1"/>
        <v>328.11</v>
      </c>
      <c r="F39" s="16">
        <f t="shared" si="2"/>
        <v>5577.7799999999897</v>
      </c>
    </row>
    <row r="40" spans="2:6" x14ac:dyDescent="0.2">
      <c r="B40" s="7">
        <v>32</v>
      </c>
      <c r="C40" s="15">
        <f t="shared" si="0"/>
        <v>45260</v>
      </c>
      <c r="D40" s="16">
        <f t="shared" si="3"/>
        <v>5577.7799999999897</v>
      </c>
      <c r="E40" s="16">
        <f t="shared" si="1"/>
        <v>328.11</v>
      </c>
      <c r="F40" s="16">
        <f t="shared" si="2"/>
        <v>5249.6699999999901</v>
      </c>
    </row>
    <row r="41" spans="2:6" x14ac:dyDescent="0.2">
      <c r="B41" s="7">
        <v>33</v>
      </c>
      <c r="C41" s="15">
        <f t="shared" si="0"/>
        <v>45291</v>
      </c>
      <c r="D41" s="16">
        <f t="shared" si="3"/>
        <v>5249.6699999999901</v>
      </c>
      <c r="E41" s="16">
        <f t="shared" si="1"/>
        <v>328.11</v>
      </c>
      <c r="F41" s="16">
        <f t="shared" si="2"/>
        <v>4921.5599999999904</v>
      </c>
    </row>
    <row r="42" spans="2:6" x14ac:dyDescent="0.2">
      <c r="B42" s="7">
        <v>34</v>
      </c>
      <c r="C42" s="15">
        <f t="shared" si="0"/>
        <v>45322</v>
      </c>
      <c r="D42" s="16">
        <f t="shared" si="3"/>
        <v>4921.5599999999904</v>
      </c>
      <c r="E42" s="16">
        <f t="shared" si="1"/>
        <v>328.11</v>
      </c>
      <c r="F42" s="16">
        <f t="shared" si="2"/>
        <v>4593.4499999999907</v>
      </c>
    </row>
    <row r="43" spans="2:6" x14ac:dyDescent="0.2">
      <c r="B43" s="7">
        <v>35</v>
      </c>
      <c r="C43" s="15">
        <f t="shared" si="0"/>
        <v>45351</v>
      </c>
      <c r="D43" s="16">
        <f t="shared" si="3"/>
        <v>4593.4499999999907</v>
      </c>
      <c r="E43" s="16">
        <f t="shared" si="1"/>
        <v>328.11</v>
      </c>
      <c r="F43" s="16">
        <f t="shared" si="2"/>
        <v>4265.3399999999911</v>
      </c>
    </row>
    <row r="44" spans="2:6" x14ac:dyDescent="0.2">
      <c r="B44" s="7">
        <v>36</v>
      </c>
      <c r="C44" s="15">
        <f t="shared" si="0"/>
        <v>45382</v>
      </c>
      <c r="D44" s="16">
        <f t="shared" si="3"/>
        <v>4265.3399999999911</v>
      </c>
      <c r="E44" s="16">
        <f t="shared" si="1"/>
        <v>328.11</v>
      </c>
      <c r="F44" s="16">
        <f t="shared" si="2"/>
        <v>3937.2299999999909</v>
      </c>
    </row>
    <row r="45" spans="2:6" x14ac:dyDescent="0.2">
      <c r="B45" s="7">
        <v>37</v>
      </c>
      <c r="C45" s="15">
        <f t="shared" si="0"/>
        <v>45412</v>
      </c>
      <c r="D45" s="16">
        <f t="shared" si="3"/>
        <v>3937.2299999999909</v>
      </c>
      <c r="E45" s="16">
        <f t="shared" si="1"/>
        <v>328.11</v>
      </c>
      <c r="F45" s="16">
        <f t="shared" si="2"/>
        <v>3609.1199999999908</v>
      </c>
    </row>
    <row r="46" spans="2:6" x14ac:dyDescent="0.2">
      <c r="B46" s="7">
        <v>38</v>
      </c>
      <c r="C46" s="15">
        <f t="shared" si="0"/>
        <v>45443</v>
      </c>
      <c r="D46" s="16">
        <f t="shared" si="3"/>
        <v>3609.1199999999908</v>
      </c>
      <c r="E46" s="16">
        <f t="shared" si="1"/>
        <v>328.11</v>
      </c>
      <c r="F46" s="16">
        <f t="shared" si="2"/>
        <v>3281.0099999999907</v>
      </c>
    </row>
    <row r="47" spans="2:6" x14ac:dyDescent="0.2">
      <c r="B47" s="7">
        <v>39</v>
      </c>
      <c r="C47" s="15">
        <f t="shared" si="0"/>
        <v>45473</v>
      </c>
      <c r="D47" s="16">
        <f t="shared" si="3"/>
        <v>3281.0099999999907</v>
      </c>
      <c r="E47" s="16">
        <f t="shared" si="1"/>
        <v>328.11</v>
      </c>
      <c r="F47" s="16">
        <f t="shared" si="2"/>
        <v>2952.8999999999905</v>
      </c>
    </row>
    <row r="48" spans="2:6" x14ac:dyDescent="0.2">
      <c r="B48" s="7">
        <v>40</v>
      </c>
      <c r="C48" s="15">
        <f t="shared" si="0"/>
        <v>45504</v>
      </c>
      <c r="D48" s="16">
        <f t="shared" si="3"/>
        <v>2952.8999999999905</v>
      </c>
      <c r="E48" s="16">
        <f t="shared" si="1"/>
        <v>328.11</v>
      </c>
      <c r="F48" s="16">
        <f t="shared" si="2"/>
        <v>2624.7899999999904</v>
      </c>
    </row>
    <row r="49" spans="2:6" x14ac:dyDescent="0.2">
      <c r="B49" s="7">
        <v>41</v>
      </c>
      <c r="C49" s="15">
        <f t="shared" si="0"/>
        <v>45535</v>
      </c>
      <c r="D49" s="16">
        <f t="shared" si="3"/>
        <v>2624.7899999999904</v>
      </c>
      <c r="E49" s="16">
        <f t="shared" si="1"/>
        <v>328.11</v>
      </c>
      <c r="F49" s="16">
        <f t="shared" si="2"/>
        <v>2296.6799999999903</v>
      </c>
    </row>
    <row r="50" spans="2:6" x14ac:dyDescent="0.2">
      <c r="B50" s="7">
        <v>42</v>
      </c>
      <c r="C50" s="15">
        <f t="shared" si="0"/>
        <v>45565</v>
      </c>
      <c r="D50" s="16">
        <f t="shared" si="3"/>
        <v>2296.6799999999903</v>
      </c>
      <c r="E50" s="16">
        <f t="shared" si="1"/>
        <v>328.11</v>
      </c>
      <c r="F50" s="16">
        <f t="shared" si="2"/>
        <v>1968.5699999999902</v>
      </c>
    </row>
    <row r="51" spans="2:6" x14ac:dyDescent="0.2">
      <c r="B51" s="7">
        <v>43</v>
      </c>
      <c r="C51" s="15">
        <f t="shared" si="0"/>
        <v>45596</v>
      </c>
      <c r="D51" s="16">
        <f t="shared" si="3"/>
        <v>1968.5699999999902</v>
      </c>
      <c r="E51" s="16">
        <f t="shared" si="1"/>
        <v>328.11</v>
      </c>
      <c r="F51" s="16">
        <f t="shared" si="2"/>
        <v>1640.45999999999</v>
      </c>
    </row>
    <row r="52" spans="2:6" x14ac:dyDescent="0.2">
      <c r="B52" s="7">
        <v>44</v>
      </c>
      <c r="C52" s="15">
        <f t="shared" si="0"/>
        <v>45626</v>
      </c>
      <c r="D52" s="16">
        <f t="shared" si="3"/>
        <v>1640.45999999999</v>
      </c>
      <c r="E52" s="16">
        <f t="shared" si="1"/>
        <v>328.11</v>
      </c>
      <c r="F52" s="16">
        <f t="shared" si="2"/>
        <v>1312.3499999999899</v>
      </c>
    </row>
    <row r="53" spans="2:6" x14ac:dyDescent="0.2">
      <c r="B53" s="7">
        <v>45</v>
      </c>
      <c r="C53" s="15">
        <f t="shared" si="0"/>
        <v>45657</v>
      </c>
      <c r="D53" s="16">
        <f t="shared" si="3"/>
        <v>1312.3499999999899</v>
      </c>
      <c r="E53" s="16">
        <f t="shared" si="1"/>
        <v>328.11</v>
      </c>
      <c r="F53" s="16">
        <f t="shared" si="2"/>
        <v>984.23999999998989</v>
      </c>
    </row>
    <row r="54" spans="2:6" x14ac:dyDescent="0.2">
      <c r="B54" s="7">
        <v>46</v>
      </c>
      <c r="C54" s="15">
        <f t="shared" si="0"/>
        <v>45688</v>
      </c>
      <c r="D54" s="16">
        <f t="shared" si="3"/>
        <v>984.23999999998989</v>
      </c>
      <c r="E54" s="16">
        <f t="shared" si="1"/>
        <v>328.11</v>
      </c>
      <c r="F54" s="16">
        <f t="shared" si="2"/>
        <v>656.12999999998988</v>
      </c>
    </row>
    <row r="55" spans="2:6" x14ac:dyDescent="0.2">
      <c r="B55" s="7">
        <v>47</v>
      </c>
      <c r="C55" s="15">
        <f t="shared" si="0"/>
        <v>45716</v>
      </c>
      <c r="D55" s="16">
        <f t="shared" si="3"/>
        <v>656.12999999998988</v>
      </c>
      <c r="E55" s="16">
        <f t="shared" si="1"/>
        <v>328.11</v>
      </c>
      <c r="F55" s="16">
        <f t="shared" si="2"/>
        <v>328.01999999998986</v>
      </c>
    </row>
    <row r="56" spans="2:6" x14ac:dyDescent="0.2">
      <c r="B56" s="14">
        <v>48</v>
      </c>
      <c r="C56" s="18">
        <f t="shared" si="0"/>
        <v>45747</v>
      </c>
      <c r="D56" s="19">
        <f t="shared" si="3"/>
        <v>328.01999999998986</v>
      </c>
      <c r="E56" s="19">
        <f t="shared" si="1"/>
        <v>328.01999999998986</v>
      </c>
      <c r="F56" s="19">
        <f t="shared" si="2"/>
        <v>0</v>
      </c>
    </row>
    <row r="57" spans="2:6" x14ac:dyDescent="0.2">
      <c r="C57" s="17"/>
      <c r="D57" s="20" t="s">
        <v>206</v>
      </c>
      <c r="E57" s="21">
        <f>SUM(E9:E56)</f>
        <v>15749.19</v>
      </c>
      <c r="F57" s="17"/>
    </row>
  </sheetData>
  <sheetProtection algorithmName="SHA-512" hashValue="HRQ00pyQe7gWmh8Z0ISsbm8WOnXFwDq28Oo/ckfAX6sR4doI3yRfYNqMVub0bN1T1NHyieMM/LSPJbU4KvJ+nQ==" saltValue="1R3XLR6MWrm/FBF8BHDrTQ==" spinCount="100000" sheet="1" objects="1" scenarios="1"/>
  <mergeCells count="6">
    <mergeCell ref="B7:F7"/>
    <mergeCell ref="C1:F1"/>
    <mergeCell ref="C2:F2"/>
    <mergeCell ref="D5:F5"/>
    <mergeCell ref="D4:F4"/>
    <mergeCell ref="D3:F3"/>
  </mergeCells>
  <pageMargins left="0.7" right="0.7" top="0.75" bottom="0.75" header="0.3" footer="0.3"/>
  <pageSetup orientation="portrait" r:id="rId1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B126E-9B5F-4AE9-B41E-9B53BD052E14}">
  <sheetPr codeName="Sheet1"/>
  <dimension ref="A1:N55"/>
  <sheetViews>
    <sheetView topLeftCell="C1" zoomScaleNormal="100" workbookViewId="0">
      <selection activeCell="W12" sqref="W12"/>
    </sheetView>
  </sheetViews>
  <sheetFormatPr defaultRowHeight="15" x14ac:dyDescent="0.25"/>
  <cols>
    <col min="1" max="1" width="32.42578125" hidden="1" customWidth="1"/>
    <col min="2" max="2" width="0" hidden="1" customWidth="1"/>
    <col min="3" max="3" width="73" bestFit="1" customWidth="1"/>
    <col min="4" max="4" width="13.7109375" bestFit="1" customWidth="1"/>
    <col min="5" max="5" width="13.7109375" customWidth="1"/>
    <col min="6" max="6" width="68.28515625" hidden="1" customWidth="1"/>
    <col min="7" max="7" width="34.42578125" hidden="1" customWidth="1"/>
    <col min="8" max="8" width="13.7109375" hidden="1" customWidth="1"/>
    <col min="9" max="9" width="8.7109375" hidden="1" customWidth="1"/>
    <col min="10" max="12" width="8.85546875" hidden="1" customWidth="1"/>
    <col min="13" max="13" width="70.28515625" hidden="1" customWidth="1"/>
    <col min="14" max="14" width="8.85546875" hidden="1" customWidth="1"/>
  </cols>
  <sheetData>
    <row r="1" spans="1:14" x14ac:dyDescent="0.25">
      <c r="A1" s="59" t="s">
        <v>207</v>
      </c>
      <c r="B1" s="59" t="s">
        <v>208</v>
      </c>
      <c r="C1" s="60" t="s">
        <v>209</v>
      </c>
      <c r="D1" s="60" t="s">
        <v>210</v>
      </c>
      <c r="E1" s="60" t="s">
        <v>41</v>
      </c>
      <c r="F1" s="155" t="s">
        <v>134</v>
      </c>
      <c r="G1" s="156"/>
      <c r="H1" s="155" t="s">
        <v>210</v>
      </c>
      <c r="I1" s="155" t="s">
        <v>41</v>
      </c>
      <c r="K1">
        <v>1</v>
      </c>
    </row>
    <row r="2" spans="1:14" ht="30" x14ac:dyDescent="0.25">
      <c r="A2" s="63" t="s">
        <v>211</v>
      </c>
      <c r="B2" s="62" t="s">
        <v>212</v>
      </c>
      <c r="C2" s="7" t="s">
        <v>213</v>
      </c>
      <c r="D2" s="62" t="s">
        <v>214</v>
      </c>
      <c r="E2" s="7" t="s">
        <v>9</v>
      </c>
      <c r="F2" s="7" t="s">
        <v>215</v>
      </c>
      <c r="G2" s="7" t="s">
        <v>216</v>
      </c>
      <c r="H2" s="62" t="s">
        <v>214</v>
      </c>
      <c r="I2" s="7" t="s">
        <v>9</v>
      </c>
      <c r="K2">
        <f>IF(I2="TAIP",0,IF(I2="NE",1,""))</f>
        <v>0</v>
      </c>
      <c r="M2" s="207" t="s">
        <v>328</v>
      </c>
      <c r="N2" s="208" t="str">
        <f>IF(OR(Paraiska!$B$27='Darbu Sarasas'!$F$1,Paraiska!$B$27='Darbu Sarasas'!$F$20,Paraiska!$B$27='Darbu Sarasas'!$F$31,Paraiska!$B$27='Darbu Sarasas'!$F$36,Paraiska!$B$27='Darbu Sarasas'!$F$37,Paraiska!$B$27='Darbu Sarasas'!$F$38,Paraiska!$B$27='Darbu Sarasas'!$F$39,Paraiska!$B$27='Darbu Sarasas'!$F$54,Paraiska!$B$27='Darbu Sarasas'!$F$55),"TAIP","NE")</f>
        <v>NE</v>
      </c>
    </row>
    <row r="3" spans="1:14" x14ac:dyDescent="0.25">
      <c r="A3" s="61" t="s">
        <v>217</v>
      </c>
      <c r="B3" s="62" t="s">
        <v>218</v>
      </c>
      <c r="C3" s="7" t="s">
        <v>254</v>
      </c>
      <c r="D3" s="62" t="s">
        <v>214</v>
      </c>
      <c r="E3" s="7" t="s">
        <v>9</v>
      </c>
      <c r="F3" s="7" t="s">
        <v>213</v>
      </c>
      <c r="G3" s="7" t="s">
        <v>219</v>
      </c>
      <c r="H3" s="62" t="s">
        <v>214</v>
      </c>
      <c r="I3" s="7" t="s">
        <v>9</v>
      </c>
      <c r="K3">
        <f t="shared" ref="K3:K55" si="0">IF(I3="TAIP",0,IF(I3="NE",1,""))</f>
        <v>0</v>
      </c>
      <c r="M3" s="208" t="s">
        <v>329</v>
      </c>
      <c r="N3" s="208" t="str">
        <f>IF(OR(Paraiska!$B$52=Support!$N$31,Paraiska!$B$52=Support!$N$32),"TAIP","NE")</f>
        <v>TAIP</v>
      </c>
    </row>
    <row r="4" spans="1:14" ht="30" x14ac:dyDescent="0.25">
      <c r="A4" s="63" t="s">
        <v>220</v>
      </c>
      <c r="B4" s="62" t="s">
        <v>221</v>
      </c>
      <c r="C4" s="7" t="s">
        <v>222</v>
      </c>
      <c r="D4" s="62" t="s">
        <v>214</v>
      </c>
      <c r="E4" s="7" t="s">
        <v>9</v>
      </c>
      <c r="F4" s="7" t="s">
        <v>223</v>
      </c>
      <c r="G4" s="7" t="s">
        <v>224</v>
      </c>
      <c r="H4" s="62" t="s">
        <v>214</v>
      </c>
      <c r="I4" s="7" t="s">
        <v>9</v>
      </c>
      <c r="K4">
        <f t="shared" si="0"/>
        <v>0</v>
      </c>
      <c r="M4" s="209" t="s">
        <v>325</v>
      </c>
      <c r="N4" s="210" t="str">
        <f>IF(OR(AND($N$2="TAIP",$N$3="TAIP"),AND($N$2="NE",$N$3="NE")),"NE","TAIP")</f>
        <v>TAIP</v>
      </c>
    </row>
    <row r="5" spans="1:14" x14ac:dyDescent="0.25">
      <c r="A5" s="61" t="s">
        <v>225</v>
      </c>
      <c r="B5" s="62" t="s">
        <v>226</v>
      </c>
      <c r="C5" s="7" t="s">
        <v>227</v>
      </c>
      <c r="D5" s="62" t="s">
        <v>214</v>
      </c>
      <c r="E5" s="7" t="s">
        <v>9</v>
      </c>
      <c r="F5" s="7" t="s">
        <v>222</v>
      </c>
      <c r="G5" s="7" t="s">
        <v>228</v>
      </c>
      <c r="H5" s="62" t="s">
        <v>214</v>
      </c>
      <c r="I5" s="7" t="s">
        <v>9</v>
      </c>
      <c r="K5">
        <f t="shared" si="0"/>
        <v>0</v>
      </c>
    </row>
    <row r="6" spans="1:14" x14ac:dyDescent="0.25">
      <c r="A6" s="61" t="s">
        <v>225</v>
      </c>
      <c r="B6" s="62" t="s">
        <v>226</v>
      </c>
      <c r="C6" s="7" t="s">
        <v>273</v>
      </c>
      <c r="D6" s="62" t="s">
        <v>214</v>
      </c>
      <c r="E6" s="7" t="s">
        <v>9</v>
      </c>
      <c r="F6" s="7" t="s">
        <v>227</v>
      </c>
      <c r="G6" s="7" t="s">
        <v>229</v>
      </c>
      <c r="H6" s="62" t="s">
        <v>214</v>
      </c>
      <c r="I6" s="7" t="s">
        <v>9</v>
      </c>
      <c r="K6">
        <f t="shared" si="0"/>
        <v>0</v>
      </c>
    </row>
    <row r="7" spans="1:14" x14ac:dyDescent="0.25">
      <c r="A7" s="61" t="s">
        <v>225</v>
      </c>
      <c r="B7" s="62" t="s">
        <v>226</v>
      </c>
      <c r="C7" s="7" t="s">
        <v>230</v>
      </c>
      <c r="D7" s="62" t="s">
        <v>214</v>
      </c>
      <c r="E7" s="7" t="s">
        <v>9</v>
      </c>
      <c r="F7" s="7" t="s">
        <v>231</v>
      </c>
      <c r="G7" s="7" t="s">
        <v>224</v>
      </c>
      <c r="H7" s="62" t="s">
        <v>214</v>
      </c>
      <c r="I7" s="7" t="s">
        <v>9</v>
      </c>
      <c r="K7">
        <f t="shared" si="0"/>
        <v>0</v>
      </c>
    </row>
    <row r="8" spans="1:14" x14ac:dyDescent="0.25">
      <c r="A8" s="61" t="s">
        <v>225</v>
      </c>
      <c r="B8" s="62" t="s">
        <v>226</v>
      </c>
      <c r="C8" s="7" t="s">
        <v>232</v>
      </c>
      <c r="D8" s="62" t="s">
        <v>214</v>
      </c>
      <c r="E8" s="7" t="s">
        <v>9</v>
      </c>
      <c r="F8" s="7" t="s">
        <v>233</v>
      </c>
      <c r="G8" s="7" t="s">
        <v>234</v>
      </c>
      <c r="H8" s="62" t="s">
        <v>214</v>
      </c>
      <c r="I8" s="7" t="s">
        <v>9</v>
      </c>
      <c r="K8">
        <f t="shared" si="0"/>
        <v>0</v>
      </c>
    </row>
    <row r="9" spans="1:14" x14ac:dyDescent="0.25">
      <c r="A9" s="61" t="s">
        <v>225</v>
      </c>
      <c r="B9" s="62" t="s">
        <v>226</v>
      </c>
      <c r="C9" s="7" t="s">
        <v>235</v>
      </c>
      <c r="D9" s="62" t="s">
        <v>214</v>
      </c>
      <c r="E9" s="7" t="s">
        <v>9</v>
      </c>
      <c r="F9" s="7" t="s">
        <v>236</v>
      </c>
      <c r="G9" s="62" t="s">
        <v>237</v>
      </c>
      <c r="H9" s="62" t="s">
        <v>214</v>
      </c>
      <c r="I9" s="7" t="s">
        <v>9</v>
      </c>
      <c r="K9">
        <f t="shared" si="0"/>
        <v>0</v>
      </c>
    </row>
    <row r="10" spans="1:14" x14ac:dyDescent="0.25">
      <c r="A10" s="61" t="s">
        <v>225</v>
      </c>
      <c r="B10" s="62" t="s">
        <v>226</v>
      </c>
      <c r="C10" s="7" t="s">
        <v>238</v>
      </c>
      <c r="D10" s="62" t="s">
        <v>214</v>
      </c>
      <c r="E10" s="7" t="s">
        <v>9</v>
      </c>
      <c r="F10" s="7" t="s">
        <v>239</v>
      </c>
      <c r="G10" s="62" t="s">
        <v>240</v>
      </c>
      <c r="H10" s="62" t="s">
        <v>214</v>
      </c>
      <c r="I10" s="7" t="s">
        <v>9</v>
      </c>
      <c r="K10">
        <f t="shared" si="0"/>
        <v>0</v>
      </c>
    </row>
    <row r="11" spans="1:14" x14ac:dyDescent="0.25">
      <c r="A11" s="61" t="s">
        <v>225</v>
      </c>
      <c r="B11" s="62" t="s">
        <v>226</v>
      </c>
      <c r="C11" s="7" t="s">
        <v>241</v>
      </c>
      <c r="D11" s="62" t="s">
        <v>214</v>
      </c>
      <c r="E11" s="7" t="s">
        <v>9</v>
      </c>
      <c r="F11" s="7" t="s">
        <v>242</v>
      </c>
      <c r="G11" s="62" t="s">
        <v>243</v>
      </c>
      <c r="H11" s="62" t="s">
        <v>214</v>
      </c>
      <c r="I11" s="7" t="s">
        <v>9</v>
      </c>
      <c r="K11">
        <f t="shared" si="0"/>
        <v>0</v>
      </c>
    </row>
    <row r="12" spans="1:14" x14ac:dyDescent="0.25">
      <c r="A12" s="61" t="s">
        <v>244</v>
      </c>
      <c r="B12" s="62" t="s">
        <v>245</v>
      </c>
      <c r="C12" s="7" t="s">
        <v>246</v>
      </c>
      <c r="D12" s="62" t="s">
        <v>214</v>
      </c>
      <c r="E12" s="7" t="s">
        <v>9</v>
      </c>
      <c r="F12" s="7" t="s">
        <v>247</v>
      </c>
      <c r="G12" s="62" t="s">
        <v>224</v>
      </c>
      <c r="H12" s="62" t="s">
        <v>214</v>
      </c>
      <c r="I12" s="7" t="s">
        <v>9</v>
      </c>
      <c r="K12">
        <f t="shared" si="0"/>
        <v>0</v>
      </c>
    </row>
    <row r="13" spans="1:14" x14ac:dyDescent="0.25">
      <c r="A13" s="61" t="s">
        <v>244</v>
      </c>
      <c r="B13" s="62" t="s">
        <v>245</v>
      </c>
      <c r="C13" s="7" t="s">
        <v>236</v>
      </c>
      <c r="D13" s="62" t="s">
        <v>214</v>
      </c>
      <c r="E13" s="7" t="s">
        <v>9</v>
      </c>
      <c r="F13" s="7" t="s">
        <v>248</v>
      </c>
      <c r="G13" s="62" t="s">
        <v>224</v>
      </c>
      <c r="H13" s="62" t="s">
        <v>214</v>
      </c>
      <c r="I13" s="7" t="s">
        <v>9</v>
      </c>
      <c r="K13">
        <f t="shared" si="0"/>
        <v>0</v>
      </c>
    </row>
    <row r="14" spans="1:14" x14ac:dyDescent="0.25">
      <c r="A14" s="61" t="s">
        <v>244</v>
      </c>
      <c r="B14" s="62" t="s">
        <v>245</v>
      </c>
      <c r="C14" s="7" t="s">
        <v>292</v>
      </c>
      <c r="D14" s="62" t="s">
        <v>249</v>
      </c>
      <c r="E14" s="7" t="s">
        <v>7</v>
      </c>
      <c r="F14" s="7" t="s">
        <v>250</v>
      </c>
      <c r="G14" s="62" t="s">
        <v>224</v>
      </c>
      <c r="H14" s="62" t="s">
        <v>214</v>
      </c>
      <c r="I14" s="7" t="s">
        <v>9</v>
      </c>
      <c r="K14">
        <f t="shared" si="0"/>
        <v>0</v>
      </c>
    </row>
    <row r="15" spans="1:14" x14ac:dyDescent="0.25">
      <c r="A15" s="61" t="s">
        <v>244</v>
      </c>
      <c r="B15" s="62" t="s">
        <v>245</v>
      </c>
      <c r="C15" s="7" t="s">
        <v>251</v>
      </c>
      <c r="D15" s="62" t="s">
        <v>249</v>
      </c>
      <c r="E15" s="7" t="s">
        <v>7</v>
      </c>
      <c r="F15" s="7" t="s">
        <v>252</v>
      </c>
      <c r="G15" s="7" t="s">
        <v>253</v>
      </c>
      <c r="H15" s="62" t="s">
        <v>214</v>
      </c>
      <c r="I15" s="7" t="s">
        <v>9</v>
      </c>
      <c r="K15">
        <f t="shared" si="0"/>
        <v>0</v>
      </c>
    </row>
    <row r="16" spans="1:14" x14ac:dyDescent="0.25">
      <c r="A16" s="61" t="s">
        <v>244</v>
      </c>
      <c r="B16" s="62" t="s">
        <v>245</v>
      </c>
      <c r="C16" s="7" t="s">
        <v>248</v>
      </c>
      <c r="D16" s="62" t="s">
        <v>214</v>
      </c>
      <c r="E16" s="7" t="s">
        <v>9</v>
      </c>
      <c r="F16" s="7" t="s">
        <v>254</v>
      </c>
      <c r="G16" s="7" t="s">
        <v>255</v>
      </c>
      <c r="H16" s="62" t="s">
        <v>214</v>
      </c>
      <c r="I16" s="7" t="s">
        <v>9</v>
      </c>
      <c r="K16">
        <f t="shared" si="0"/>
        <v>0</v>
      </c>
    </row>
    <row r="17" spans="1:11" x14ac:dyDescent="0.25">
      <c r="A17" s="61" t="s">
        <v>244</v>
      </c>
      <c r="B17" s="62" t="s">
        <v>245</v>
      </c>
      <c r="C17" s="7" t="s">
        <v>250</v>
      </c>
      <c r="D17" s="62" t="s">
        <v>214</v>
      </c>
      <c r="E17" s="7" t="s">
        <v>9</v>
      </c>
      <c r="F17" s="7" t="s">
        <v>256</v>
      </c>
      <c r="G17" s="7" t="s">
        <v>257</v>
      </c>
      <c r="H17" s="62" t="s">
        <v>214</v>
      </c>
      <c r="I17" s="7" t="s">
        <v>9</v>
      </c>
      <c r="K17">
        <f t="shared" si="0"/>
        <v>0</v>
      </c>
    </row>
    <row r="18" spans="1:11" x14ac:dyDescent="0.25">
      <c r="A18" s="61" t="s">
        <v>244</v>
      </c>
      <c r="B18" s="62" t="s">
        <v>245</v>
      </c>
      <c r="C18" s="7" t="s">
        <v>231</v>
      </c>
      <c r="D18" s="62" t="s">
        <v>214</v>
      </c>
      <c r="E18" s="7" t="s">
        <v>9</v>
      </c>
      <c r="F18" s="7" t="s">
        <v>258</v>
      </c>
      <c r="G18" s="7" t="s">
        <v>259</v>
      </c>
      <c r="H18" s="62" t="s">
        <v>214</v>
      </c>
      <c r="I18" s="7" t="s">
        <v>9</v>
      </c>
      <c r="K18">
        <f t="shared" si="0"/>
        <v>0</v>
      </c>
    </row>
    <row r="19" spans="1:11" x14ac:dyDescent="0.25">
      <c r="A19" s="61" t="s">
        <v>244</v>
      </c>
      <c r="B19" s="62" t="s">
        <v>245</v>
      </c>
      <c r="C19" s="7" t="s">
        <v>223</v>
      </c>
      <c r="D19" s="62" t="s">
        <v>214</v>
      </c>
      <c r="E19" s="7" t="s">
        <v>9</v>
      </c>
      <c r="F19" s="7" t="s">
        <v>241</v>
      </c>
      <c r="G19" s="7" t="s">
        <v>229</v>
      </c>
      <c r="H19" s="62" t="s">
        <v>214</v>
      </c>
      <c r="I19" s="7" t="s">
        <v>9</v>
      </c>
      <c r="K19">
        <f t="shared" si="0"/>
        <v>0</v>
      </c>
    </row>
    <row r="20" spans="1:11" x14ac:dyDescent="0.25">
      <c r="A20" s="63" t="s">
        <v>260</v>
      </c>
      <c r="B20" s="62" t="s">
        <v>261</v>
      </c>
      <c r="C20" s="7" t="s">
        <v>247</v>
      </c>
      <c r="D20" s="62" t="s">
        <v>214</v>
      </c>
      <c r="E20" s="7" t="s">
        <v>9</v>
      </c>
      <c r="F20" s="7" t="s">
        <v>262</v>
      </c>
      <c r="G20" s="7" t="s">
        <v>263</v>
      </c>
      <c r="H20" s="62" t="s">
        <v>249</v>
      </c>
      <c r="I20" s="7" t="s">
        <v>7</v>
      </c>
      <c r="K20">
        <f t="shared" si="0"/>
        <v>1</v>
      </c>
    </row>
    <row r="21" spans="1:11" x14ac:dyDescent="0.25">
      <c r="A21" s="63" t="s">
        <v>260</v>
      </c>
      <c r="B21" s="62" t="s">
        <v>261</v>
      </c>
      <c r="C21" s="63" t="s">
        <v>264</v>
      </c>
      <c r="D21" s="62" t="s">
        <v>214</v>
      </c>
      <c r="E21" s="7" t="s">
        <v>9</v>
      </c>
      <c r="F21" s="63" t="s">
        <v>265</v>
      </c>
      <c r="G21" s="7" t="s">
        <v>263</v>
      </c>
      <c r="H21" s="62" t="s">
        <v>214</v>
      </c>
      <c r="I21" s="7" t="s">
        <v>9</v>
      </c>
      <c r="K21">
        <f t="shared" si="0"/>
        <v>0</v>
      </c>
    </row>
    <row r="22" spans="1:11" x14ac:dyDescent="0.25">
      <c r="A22" s="63" t="s">
        <v>266</v>
      </c>
      <c r="B22" s="62" t="s">
        <v>267</v>
      </c>
      <c r="C22" s="7" t="s">
        <v>252</v>
      </c>
      <c r="D22" s="62" t="s">
        <v>214</v>
      </c>
      <c r="E22" s="7" t="s">
        <v>9</v>
      </c>
      <c r="F22" s="7" t="s">
        <v>268</v>
      </c>
      <c r="G22" s="7" t="s">
        <v>269</v>
      </c>
      <c r="H22" s="62" t="s">
        <v>214</v>
      </c>
      <c r="I22" s="7" t="s">
        <v>9</v>
      </c>
      <c r="K22">
        <f t="shared" si="0"/>
        <v>0</v>
      </c>
    </row>
    <row r="23" spans="1:11" x14ac:dyDescent="0.25">
      <c r="A23" s="63" t="s">
        <v>270</v>
      </c>
      <c r="B23" s="62" t="s">
        <v>271</v>
      </c>
      <c r="C23" s="7" t="s">
        <v>239</v>
      </c>
      <c r="D23" s="62" t="s">
        <v>214</v>
      </c>
      <c r="E23" s="7" t="s">
        <v>9</v>
      </c>
      <c r="F23" s="7" t="s">
        <v>230</v>
      </c>
      <c r="G23" s="7" t="s">
        <v>229</v>
      </c>
      <c r="H23" s="62" t="s">
        <v>214</v>
      </c>
      <c r="I23" s="7" t="s">
        <v>9</v>
      </c>
      <c r="K23">
        <f t="shared" si="0"/>
        <v>0</v>
      </c>
    </row>
    <row r="24" spans="1:11" x14ac:dyDescent="0.25">
      <c r="A24" s="63" t="s">
        <v>270</v>
      </c>
      <c r="B24" s="62" t="s">
        <v>271</v>
      </c>
      <c r="C24" s="7" t="s">
        <v>272</v>
      </c>
      <c r="D24" s="62" t="s">
        <v>214</v>
      </c>
      <c r="E24" s="7" t="s">
        <v>9</v>
      </c>
      <c r="F24" s="7" t="s">
        <v>273</v>
      </c>
      <c r="G24" s="7" t="s">
        <v>229</v>
      </c>
      <c r="H24" s="62" t="s">
        <v>214</v>
      </c>
      <c r="I24" s="7" t="s">
        <v>9</v>
      </c>
      <c r="K24">
        <f t="shared" si="0"/>
        <v>0</v>
      </c>
    </row>
    <row r="25" spans="1:11" x14ac:dyDescent="0.25">
      <c r="A25" s="63" t="s">
        <v>270</v>
      </c>
      <c r="B25" s="62" t="s">
        <v>271</v>
      </c>
      <c r="C25" s="7" t="s">
        <v>291</v>
      </c>
      <c r="D25" s="62" t="s">
        <v>214</v>
      </c>
      <c r="E25" s="7" t="s">
        <v>9</v>
      </c>
      <c r="F25" s="7" t="s">
        <v>246</v>
      </c>
      <c r="G25" s="7" t="s">
        <v>237</v>
      </c>
      <c r="H25" s="62" t="s">
        <v>214</v>
      </c>
      <c r="I25" s="7" t="s">
        <v>9</v>
      </c>
      <c r="K25">
        <f t="shared" si="0"/>
        <v>0</v>
      </c>
    </row>
    <row r="26" spans="1:11" x14ac:dyDescent="0.25">
      <c r="A26" s="63" t="s">
        <v>274</v>
      </c>
      <c r="B26" s="62" t="s">
        <v>275</v>
      </c>
      <c r="C26" s="7" t="s">
        <v>279</v>
      </c>
      <c r="D26" s="62" t="s">
        <v>249</v>
      </c>
      <c r="E26" s="7" t="s">
        <v>9</v>
      </c>
      <c r="F26" s="7" t="s">
        <v>272</v>
      </c>
      <c r="G26" s="7" t="s">
        <v>240</v>
      </c>
      <c r="H26" s="62" t="s">
        <v>214</v>
      </c>
      <c r="I26" s="7" t="s">
        <v>9</v>
      </c>
      <c r="K26">
        <f t="shared" si="0"/>
        <v>0</v>
      </c>
    </row>
    <row r="27" spans="1:11" x14ac:dyDescent="0.25">
      <c r="A27" s="63" t="s">
        <v>274</v>
      </c>
      <c r="B27" s="62" t="s">
        <v>275</v>
      </c>
      <c r="C27" s="62" t="s">
        <v>276</v>
      </c>
      <c r="D27" s="62" t="s">
        <v>214</v>
      </c>
      <c r="E27" s="7" t="s">
        <v>9</v>
      </c>
      <c r="F27" s="62" t="s">
        <v>277</v>
      </c>
      <c r="G27" s="7" t="s">
        <v>278</v>
      </c>
      <c r="H27" s="62" t="s">
        <v>214</v>
      </c>
      <c r="I27" s="7" t="s">
        <v>9</v>
      </c>
      <c r="K27">
        <f t="shared" si="0"/>
        <v>0</v>
      </c>
    </row>
    <row r="28" spans="1:11" x14ac:dyDescent="0.25">
      <c r="A28" s="61" t="s">
        <v>244</v>
      </c>
      <c r="B28" s="62" t="s">
        <v>245</v>
      </c>
      <c r="C28" s="7" t="s">
        <v>288</v>
      </c>
      <c r="D28" s="62" t="s">
        <v>214</v>
      </c>
      <c r="E28" s="7" t="s">
        <v>9</v>
      </c>
      <c r="F28" s="7" t="s">
        <v>279</v>
      </c>
      <c r="G28" s="7" t="s">
        <v>280</v>
      </c>
      <c r="H28" s="62" t="s">
        <v>249</v>
      </c>
      <c r="I28" s="7" t="s">
        <v>9</v>
      </c>
      <c r="K28">
        <f t="shared" si="0"/>
        <v>0</v>
      </c>
    </row>
    <row r="29" spans="1:11" x14ac:dyDescent="0.25">
      <c r="A29" s="63" t="s">
        <v>281</v>
      </c>
      <c r="B29" s="62" t="s">
        <v>282</v>
      </c>
      <c r="C29" s="7" t="s">
        <v>242</v>
      </c>
      <c r="D29" s="62" t="s">
        <v>214</v>
      </c>
      <c r="E29" s="7" t="s">
        <v>9</v>
      </c>
      <c r="F29" s="7" t="s">
        <v>276</v>
      </c>
      <c r="G29" s="7" t="s">
        <v>280</v>
      </c>
      <c r="H29" s="62" t="s">
        <v>214</v>
      </c>
      <c r="I29" s="7" t="s">
        <v>9</v>
      </c>
      <c r="K29">
        <f t="shared" si="0"/>
        <v>0</v>
      </c>
    </row>
    <row r="30" spans="1:11" x14ac:dyDescent="0.25">
      <c r="A30" s="62" t="s">
        <v>283</v>
      </c>
      <c r="B30" s="62" t="s">
        <v>284</v>
      </c>
      <c r="C30" s="62" t="s">
        <v>290</v>
      </c>
      <c r="D30" s="62" t="s">
        <v>214</v>
      </c>
      <c r="E30" s="7" t="s">
        <v>9</v>
      </c>
      <c r="F30" s="62" t="s">
        <v>232</v>
      </c>
      <c r="G30" s="7" t="s">
        <v>229</v>
      </c>
      <c r="H30" s="62" t="s">
        <v>214</v>
      </c>
      <c r="I30" s="7" t="s">
        <v>9</v>
      </c>
      <c r="K30">
        <f t="shared" si="0"/>
        <v>0</v>
      </c>
    </row>
    <row r="31" spans="1:11" x14ac:dyDescent="0.25">
      <c r="A31" s="63" t="s">
        <v>283</v>
      </c>
      <c r="B31" s="62" t="s">
        <v>284</v>
      </c>
      <c r="C31" s="63" t="s">
        <v>268</v>
      </c>
      <c r="D31" s="62" t="s">
        <v>214</v>
      </c>
      <c r="E31" s="7" t="s">
        <v>9</v>
      </c>
      <c r="F31" s="63" t="s">
        <v>251</v>
      </c>
      <c r="G31" s="7" t="s">
        <v>224</v>
      </c>
      <c r="H31" s="62" t="s">
        <v>249</v>
      </c>
      <c r="I31" s="7" t="s">
        <v>7</v>
      </c>
      <c r="K31">
        <f t="shared" si="0"/>
        <v>1</v>
      </c>
    </row>
    <row r="32" spans="1:11" x14ac:dyDescent="0.25">
      <c r="A32" s="61" t="s">
        <v>285</v>
      </c>
      <c r="B32" s="62" t="s">
        <v>286</v>
      </c>
      <c r="C32" s="7" t="s">
        <v>287</v>
      </c>
      <c r="D32" s="62" t="s">
        <v>214</v>
      </c>
      <c r="E32" s="7" t="s">
        <v>9</v>
      </c>
      <c r="F32" s="7" t="s">
        <v>288</v>
      </c>
      <c r="G32" s="7" t="s">
        <v>289</v>
      </c>
      <c r="H32" s="62" t="s">
        <v>214</v>
      </c>
      <c r="I32" s="7" t="s">
        <v>9</v>
      </c>
      <c r="K32">
        <f t="shared" si="0"/>
        <v>0</v>
      </c>
    </row>
    <row r="33" spans="1:11" x14ac:dyDescent="0.25">
      <c r="A33" s="61" t="s">
        <v>285</v>
      </c>
      <c r="B33" s="62" t="s">
        <v>286</v>
      </c>
      <c r="C33" s="7" t="s">
        <v>233</v>
      </c>
      <c r="D33" s="62" t="s">
        <v>214</v>
      </c>
      <c r="E33" s="7" t="s">
        <v>9</v>
      </c>
      <c r="F33" s="7" t="s">
        <v>290</v>
      </c>
      <c r="G33" s="7" t="s">
        <v>269</v>
      </c>
      <c r="H33" s="62" t="s">
        <v>214</v>
      </c>
      <c r="I33" s="7" t="s">
        <v>9</v>
      </c>
      <c r="K33">
        <f t="shared" si="0"/>
        <v>0</v>
      </c>
    </row>
    <row r="34" spans="1:11" x14ac:dyDescent="0.25">
      <c r="A34" s="61" t="s">
        <v>217</v>
      </c>
      <c r="B34" s="62" t="s">
        <v>218</v>
      </c>
      <c r="C34" s="7" t="s">
        <v>294</v>
      </c>
      <c r="D34" s="62" t="s">
        <v>249</v>
      </c>
      <c r="E34" s="7" t="s">
        <v>7</v>
      </c>
      <c r="F34" s="7" t="s">
        <v>291</v>
      </c>
      <c r="G34" s="7" t="s">
        <v>240</v>
      </c>
      <c r="H34" s="62" t="s">
        <v>214</v>
      </c>
      <c r="I34" s="7" t="s">
        <v>9</v>
      </c>
      <c r="K34">
        <f t="shared" si="0"/>
        <v>0</v>
      </c>
    </row>
    <row r="35" spans="1:11" x14ac:dyDescent="0.25">
      <c r="A35" s="154" t="s">
        <v>217</v>
      </c>
      <c r="B35" s="62" t="s">
        <v>218</v>
      </c>
      <c r="C35" s="62" t="s">
        <v>305</v>
      </c>
      <c r="D35" s="62" t="s">
        <v>214</v>
      </c>
      <c r="E35" s="7" t="s">
        <v>9</v>
      </c>
      <c r="F35" s="62" t="s">
        <v>287</v>
      </c>
      <c r="G35" s="7" t="s">
        <v>234</v>
      </c>
      <c r="H35" s="62" t="s">
        <v>214</v>
      </c>
      <c r="I35" s="7" t="s">
        <v>9</v>
      </c>
      <c r="K35">
        <f t="shared" si="0"/>
        <v>0</v>
      </c>
    </row>
    <row r="36" spans="1:11" x14ac:dyDescent="0.25">
      <c r="A36" s="154" t="s">
        <v>217</v>
      </c>
      <c r="B36" s="62" t="s">
        <v>218</v>
      </c>
      <c r="C36" s="62" t="s">
        <v>307</v>
      </c>
      <c r="D36" s="62" t="s">
        <v>214</v>
      </c>
      <c r="E36" s="7" t="s">
        <v>9</v>
      </c>
      <c r="F36" s="62" t="s">
        <v>292</v>
      </c>
      <c r="G36" s="7" t="s">
        <v>224</v>
      </c>
      <c r="H36" s="62" t="s">
        <v>249</v>
      </c>
      <c r="I36" s="7" t="s">
        <v>7</v>
      </c>
      <c r="K36">
        <f t="shared" si="0"/>
        <v>1</v>
      </c>
    </row>
    <row r="37" spans="1:11" x14ac:dyDescent="0.25">
      <c r="A37" s="61" t="s">
        <v>217</v>
      </c>
      <c r="B37" s="62" t="s">
        <v>218</v>
      </c>
      <c r="C37" s="62" t="s">
        <v>293</v>
      </c>
      <c r="D37" s="62" t="s">
        <v>214</v>
      </c>
      <c r="E37" s="7" t="s">
        <v>9</v>
      </c>
      <c r="F37" s="62" t="s">
        <v>294</v>
      </c>
      <c r="G37" s="7" t="s">
        <v>295</v>
      </c>
      <c r="H37" s="62" t="s">
        <v>249</v>
      </c>
      <c r="I37" s="7" t="s">
        <v>7</v>
      </c>
      <c r="K37">
        <f t="shared" si="0"/>
        <v>1</v>
      </c>
    </row>
    <row r="38" spans="1:11" x14ac:dyDescent="0.25">
      <c r="A38" s="61" t="s">
        <v>296</v>
      </c>
      <c r="B38" s="62" t="s">
        <v>297</v>
      </c>
      <c r="C38" s="62" t="s">
        <v>215</v>
      </c>
      <c r="D38" s="62" t="s">
        <v>214</v>
      </c>
      <c r="E38" s="7" t="s">
        <v>9</v>
      </c>
      <c r="F38" s="62" t="s">
        <v>298</v>
      </c>
      <c r="G38" s="7" t="s">
        <v>257</v>
      </c>
      <c r="H38" s="62" t="s">
        <v>249</v>
      </c>
      <c r="I38" s="7" t="s">
        <v>7</v>
      </c>
      <c r="K38">
        <f t="shared" si="0"/>
        <v>1</v>
      </c>
    </row>
    <row r="39" spans="1:11" x14ac:dyDescent="0.25">
      <c r="A39" s="61" t="s">
        <v>299</v>
      </c>
      <c r="B39" s="62" t="s">
        <v>300</v>
      </c>
      <c r="C39" s="62" t="s">
        <v>298</v>
      </c>
      <c r="D39" s="62" t="s">
        <v>249</v>
      </c>
      <c r="E39" s="7" t="s">
        <v>7</v>
      </c>
      <c r="F39" s="62" t="s">
        <v>301</v>
      </c>
      <c r="G39" s="7" t="s">
        <v>278</v>
      </c>
      <c r="H39" s="62" t="s">
        <v>249</v>
      </c>
      <c r="I39" s="7" t="s">
        <v>7</v>
      </c>
      <c r="K39">
        <f t="shared" si="0"/>
        <v>1</v>
      </c>
    </row>
    <row r="40" spans="1:11" x14ac:dyDescent="0.25">
      <c r="A40" s="61" t="s">
        <v>299</v>
      </c>
      <c r="B40" s="62" t="s">
        <v>300</v>
      </c>
      <c r="C40" s="7" t="s">
        <v>302</v>
      </c>
      <c r="D40" s="62" t="s">
        <v>214</v>
      </c>
      <c r="E40" s="7" t="s">
        <v>9</v>
      </c>
      <c r="F40" s="7" t="s">
        <v>303</v>
      </c>
      <c r="G40" s="7" t="s">
        <v>278</v>
      </c>
      <c r="H40" s="62" t="s">
        <v>214</v>
      </c>
      <c r="I40" s="7" t="s">
        <v>9</v>
      </c>
      <c r="K40">
        <f t="shared" si="0"/>
        <v>0</v>
      </c>
    </row>
    <row r="41" spans="1:11" x14ac:dyDescent="0.25">
      <c r="A41" s="61" t="s">
        <v>299</v>
      </c>
      <c r="B41" s="62" t="s">
        <v>300</v>
      </c>
      <c r="C41" s="62" t="s">
        <v>256</v>
      </c>
      <c r="D41" s="62" t="s">
        <v>214</v>
      </c>
      <c r="E41" s="7" t="s">
        <v>9</v>
      </c>
      <c r="F41" s="62" t="s">
        <v>235</v>
      </c>
      <c r="G41" s="7" t="s">
        <v>229</v>
      </c>
      <c r="H41" s="62" t="s">
        <v>214</v>
      </c>
      <c r="I41" s="7" t="s">
        <v>9</v>
      </c>
      <c r="K41">
        <f t="shared" si="0"/>
        <v>0</v>
      </c>
    </row>
    <row r="42" spans="1:11" x14ac:dyDescent="0.25">
      <c r="A42" s="61" t="s">
        <v>299</v>
      </c>
      <c r="B42" s="62" t="s">
        <v>300</v>
      </c>
      <c r="C42" s="7" t="s">
        <v>304</v>
      </c>
      <c r="D42" s="62" t="s">
        <v>214</v>
      </c>
      <c r="E42" s="7" t="s">
        <v>9</v>
      </c>
      <c r="F42" s="7" t="s">
        <v>305</v>
      </c>
      <c r="G42" s="7" t="s">
        <v>295</v>
      </c>
      <c r="H42" s="62" t="s">
        <v>214</v>
      </c>
      <c r="I42" s="7" t="s">
        <v>9</v>
      </c>
      <c r="K42">
        <f t="shared" si="0"/>
        <v>0</v>
      </c>
    </row>
    <row r="43" spans="1:11" x14ac:dyDescent="0.25">
      <c r="A43" s="61" t="s">
        <v>299</v>
      </c>
      <c r="B43" s="62" t="s">
        <v>300</v>
      </c>
      <c r="C43" s="62" t="s">
        <v>306</v>
      </c>
      <c r="D43" s="62" t="s">
        <v>214</v>
      </c>
      <c r="E43" s="7" t="s">
        <v>9</v>
      </c>
      <c r="F43" s="62" t="s">
        <v>307</v>
      </c>
      <c r="G43" s="7" t="s">
        <v>308</v>
      </c>
      <c r="H43" s="62" t="s">
        <v>214</v>
      </c>
      <c r="I43" s="7" t="s">
        <v>9</v>
      </c>
      <c r="K43">
        <f t="shared" si="0"/>
        <v>0</v>
      </c>
    </row>
    <row r="44" spans="1:11" x14ac:dyDescent="0.25">
      <c r="A44" s="61" t="s">
        <v>299</v>
      </c>
      <c r="B44" s="62" t="s">
        <v>300</v>
      </c>
      <c r="C44" s="62" t="s">
        <v>309</v>
      </c>
      <c r="D44" s="62" t="s">
        <v>214</v>
      </c>
      <c r="E44" s="7" t="s">
        <v>9</v>
      </c>
      <c r="F44" s="62" t="s">
        <v>302</v>
      </c>
      <c r="G44" s="7" t="s">
        <v>257</v>
      </c>
      <c r="H44" s="62" t="s">
        <v>214</v>
      </c>
      <c r="I44" s="7" t="s">
        <v>9</v>
      </c>
      <c r="K44">
        <f t="shared" si="0"/>
        <v>0</v>
      </c>
    </row>
    <row r="45" spans="1:11" x14ac:dyDescent="0.25">
      <c r="A45" s="63" t="s">
        <v>266</v>
      </c>
      <c r="B45" s="62" t="s">
        <v>267</v>
      </c>
      <c r="C45" s="7" t="s">
        <v>301</v>
      </c>
      <c r="D45" s="62" t="s">
        <v>249</v>
      </c>
      <c r="E45" s="7" t="s">
        <v>7</v>
      </c>
      <c r="F45" s="7" t="s">
        <v>306</v>
      </c>
      <c r="G45" s="7" t="s">
        <v>257</v>
      </c>
      <c r="H45" s="62" t="s">
        <v>214</v>
      </c>
      <c r="I45" s="7" t="s">
        <v>9</v>
      </c>
      <c r="K45">
        <f t="shared" si="0"/>
        <v>0</v>
      </c>
    </row>
    <row r="46" spans="1:11" x14ac:dyDescent="0.25">
      <c r="A46" s="63" t="s">
        <v>266</v>
      </c>
      <c r="B46" s="62" t="s">
        <v>267</v>
      </c>
      <c r="C46" s="7" t="s">
        <v>303</v>
      </c>
      <c r="D46" s="62" t="s">
        <v>214</v>
      </c>
      <c r="E46" s="7" t="s">
        <v>9</v>
      </c>
      <c r="F46" s="7" t="s">
        <v>309</v>
      </c>
      <c r="G46" s="7" t="s">
        <v>257</v>
      </c>
      <c r="H46" s="62" t="s">
        <v>214</v>
      </c>
      <c r="I46" s="7" t="s">
        <v>9</v>
      </c>
      <c r="K46">
        <f t="shared" si="0"/>
        <v>0</v>
      </c>
    </row>
    <row r="47" spans="1:11" x14ac:dyDescent="0.25">
      <c r="A47" s="63" t="s">
        <v>266</v>
      </c>
      <c r="B47" s="62" t="s">
        <v>267</v>
      </c>
      <c r="C47" s="7" t="s">
        <v>310</v>
      </c>
      <c r="D47" s="62" t="s">
        <v>214</v>
      </c>
      <c r="E47" s="7" t="s">
        <v>9</v>
      </c>
      <c r="F47" s="7" t="s">
        <v>311</v>
      </c>
      <c r="G47" s="7" t="s">
        <v>278</v>
      </c>
      <c r="H47" s="62" t="s">
        <v>214</v>
      </c>
      <c r="I47" s="7" t="s">
        <v>9</v>
      </c>
      <c r="K47">
        <f t="shared" si="0"/>
        <v>0</v>
      </c>
    </row>
    <row r="48" spans="1:11" x14ac:dyDescent="0.25">
      <c r="A48" s="63" t="s">
        <v>266</v>
      </c>
      <c r="B48" s="62" t="s">
        <v>267</v>
      </c>
      <c r="C48" s="62" t="s">
        <v>311</v>
      </c>
      <c r="D48" s="62" t="s">
        <v>214</v>
      </c>
      <c r="E48" s="7" t="s">
        <v>9</v>
      </c>
      <c r="F48" s="62" t="s">
        <v>304</v>
      </c>
      <c r="G48" s="7" t="s">
        <v>257</v>
      </c>
      <c r="H48" s="62" t="s">
        <v>214</v>
      </c>
      <c r="I48" s="7" t="s">
        <v>9</v>
      </c>
      <c r="K48">
        <f t="shared" si="0"/>
        <v>0</v>
      </c>
    </row>
    <row r="49" spans="1:11" x14ac:dyDescent="0.25">
      <c r="A49" s="63" t="s">
        <v>266</v>
      </c>
      <c r="B49" s="62" t="s">
        <v>267</v>
      </c>
      <c r="C49" s="7" t="s">
        <v>277</v>
      </c>
      <c r="D49" s="62" t="s">
        <v>214</v>
      </c>
      <c r="E49" s="7" t="s">
        <v>9</v>
      </c>
      <c r="F49" s="7" t="s">
        <v>310</v>
      </c>
      <c r="G49" s="7" t="s">
        <v>278</v>
      </c>
      <c r="H49" s="62" t="s">
        <v>214</v>
      </c>
      <c r="I49" s="7" t="s">
        <v>9</v>
      </c>
      <c r="K49">
        <f t="shared" si="0"/>
        <v>0</v>
      </c>
    </row>
    <row r="50" spans="1:11" x14ac:dyDescent="0.25">
      <c r="A50" s="61" t="s">
        <v>244</v>
      </c>
      <c r="B50" s="62" t="s">
        <v>245</v>
      </c>
      <c r="C50" s="62" t="s">
        <v>258</v>
      </c>
      <c r="D50" s="62" t="s">
        <v>214</v>
      </c>
      <c r="E50" s="7" t="s">
        <v>9</v>
      </c>
      <c r="F50" s="62" t="s">
        <v>264</v>
      </c>
      <c r="G50" s="7" t="s">
        <v>224</v>
      </c>
      <c r="H50" s="62" t="s">
        <v>214</v>
      </c>
      <c r="I50" s="7" t="s">
        <v>9</v>
      </c>
      <c r="K50">
        <f t="shared" si="0"/>
        <v>0</v>
      </c>
    </row>
    <row r="51" spans="1:11" x14ac:dyDescent="0.25">
      <c r="A51" s="61" t="s">
        <v>312</v>
      </c>
      <c r="B51" s="62" t="s">
        <v>313</v>
      </c>
      <c r="C51" s="7" t="s">
        <v>262</v>
      </c>
      <c r="D51" s="62" t="s">
        <v>249</v>
      </c>
      <c r="E51" s="7" t="s">
        <v>7</v>
      </c>
      <c r="F51" s="7" t="s">
        <v>238</v>
      </c>
      <c r="G51" s="7" t="s">
        <v>229</v>
      </c>
      <c r="H51" s="62" t="s">
        <v>214</v>
      </c>
      <c r="I51" s="7" t="s">
        <v>9</v>
      </c>
      <c r="K51">
        <f t="shared" si="0"/>
        <v>0</v>
      </c>
    </row>
    <row r="52" spans="1:11" x14ac:dyDescent="0.25">
      <c r="A52" s="61" t="s">
        <v>312</v>
      </c>
      <c r="B52" s="62" t="s">
        <v>313</v>
      </c>
      <c r="C52" s="7" t="s">
        <v>314</v>
      </c>
      <c r="D52" s="62" t="s">
        <v>214</v>
      </c>
      <c r="E52" s="7" t="s">
        <v>9</v>
      </c>
      <c r="F52" s="7" t="s">
        <v>293</v>
      </c>
      <c r="G52" s="7" t="s">
        <v>315</v>
      </c>
      <c r="H52" s="62" t="s">
        <v>214</v>
      </c>
      <c r="I52" s="7" t="s">
        <v>9</v>
      </c>
      <c r="K52">
        <f t="shared" si="0"/>
        <v>0</v>
      </c>
    </row>
    <row r="53" spans="1:11" x14ac:dyDescent="0.25">
      <c r="A53" s="61" t="s">
        <v>312</v>
      </c>
      <c r="B53" s="62" t="s">
        <v>313</v>
      </c>
      <c r="C53" s="7" t="s">
        <v>265</v>
      </c>
      <c r="D53" s="62" t="s">
        <v>214</v>
      </c>
      <c r="E53" s="7" t="s">
        <v>9</v>
      </c>
      <c r="F53" s="7" t="s">
        <v>314</v>
      </c>
      <c r="G53" s="7" t="s">
        <v>263</v>
      </c>
      <c r="H53" s="62" t="s">
        <v>214</v>
      </c>
      <c r="I53" s="7" t="s">
        <v>9</v>
      </c>
      <c r="K53">
        <f t="shared" si="0"/>
        <v>0</v>
      </c>
    </row>
    <row r="54" spans="1:11" x14ac:dyDescent="0.25">
      <c r="C54" s="7" t="s">
        <v>317</v>
      </c>
      <c r="D54" s="62" t="s">
        <v>249</v>
      </c>
      <c r="E54" s="7" t="s">
        <v>7</v>
      </c>
      <c r="F54" s="7" t="s">
        <v>317</v>
      </c>
      <c r="G54" s="7" t="s">
        <v>229</v>
      </c>
      <c r="H54" s="62" t="s">
        <v>249</v>
      </c>
      <c r="I54" s="7" t="s">
        <v>7</v>
      </c>
      <c r="K54">
        <f t="shared" si="0"/>
        <v>1</v>
      </c>
    </row>
    <row r="55" spans="1:11" x14ac:dyDescent="0.25">
      <c r="C55" s="7" t="s">
        <v>318</v>
      </c>
      <c r="D55" s="62" t="s">
        <v>249</v>
      </c>
      <c r="E55" s="7" t="s">
        <v>7</v>
      </c>
      <c r="F55" s="7" t="s">
        <v>318</v>
      </c>
      <c r="G55" s="7" t="s">
        <v>259</v>
      </c>
      <c r="H55" s="62" t="s">
        <v>249</v>
      </c>
      <c r="I55" s="7" t="s">
        <v>7</v>
      </c>
      <c r="K55">
        <f t="shared" si="0"/>
        <v>1</v>
      </c>
    </row>
  </sheetData>
  <sheetProtection algorithmName="SHA-512" hashValue="W3aYrN/vMtgnUwlibxBUZKcjkMxNBAb9cWC2esnCjZFI+8U7VN95W+6lX9orJEIgu7en3QogCGGUzBb97qEgHg==" saltValue="ELQBUZN9nZqvlCI96NZVIA==" spinCount="100000" sheet="1" objects="1" scenarios="1"/>
  <autoFilter ref="A1:I55" xr:uid="{0A7B126E-9B5F-4AE9-B41E-9B53BD052E14}"/>
  <sortState xmlns:xlrd2="http://schemas.microsoft.com/office/spreadsheetml/2017/richdata2" ref="F2:I53">
    <sortCondition ref="F2:F53"/>
  </sortState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6077470-6598-4353-b468-800e109d1d3d" xsi:nil="true"/>
    <lcf76f155ced4ddcb4097134ff3c332f xmlns="304fe221-8842-4594-802e-a4b65f322b84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5D8EF72A7B3A6459629093D1AE8D804" ma:contentTypeVersion="9" ma:contentTypeDescription="Create a new document." ma:contentTypeScope="" ma:versionID="aa301c2eebd1aafa216ac5d9a39e6042">
  <xsd:schema xmlns:xsd="http://www.w3.org/2001/XMLSchema" xmlns:xs="http://www.w3.org/2001/XMLSchema" xmlns:p="http://schemas.microsoft.com/office/2006/metadata/properties" xmlns:ns2="304fe221-8842-4594-802e-a4b65f322b84" xmlns:ns3="f6077470-6598-4353-b468-800e109d1d3d" targetNamespace="http://schemas.microsoft.com/office/2006/metadata/properties" ma:root="true" ma:fieldsID="0db5d124c1049005ca8da9c6f7a0d6da" ns2:_="" ns3:_="">
    <xsd:import namespace="304fe221-8842-4594-802e-a4b65f322b84"/>
    <xsd:import namespace="f6077470-6598-4353-b468-800e109d1d3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4fe221-8842-4594-802e-a4b65f322b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177fde30-27ca-40f9-9c51-978259f000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077470-6598-4353-b468-800e109d1d3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c477976-43cf-40b1-8fce-849722466804}" ma:internalName="TaxCatchAll" ma:showField="CatchAllData" ma:web="f6077470-6598-4353-b468-800e109d1d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6342A4-A8D7-4BD4-98D3-14502B3BA4CC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726FBE5A-8619-4C97-9751-D66EAEF317B6}">
  <ds:schemaRefs>
    <ds:schemaRef ds:uri="http://schemas.microsoft.com/office/2006/metadata/properties"/>
    <ds:schemaRef ds:uri="http://schemas.microsoft.com/office/infopath/2007/PartnerControls"/>
    <ds:schemaRef ds:uri="f6077470-6598-4353-b468-800e109d1d3d"/>
    <ds:schemaRef ds:uri="304fe221-8842-4594-802e-a4b65f322b84"/>
  </ds:schemaRefs>
</ds:datastoreItem>
</file>

<file path=customXml/itemProps3.xml><?xml version="1.0" encoding="utf-8"?>
<ds:datastoreItem xmlns:ds="http://schemas.openxmlformats.org/officeDocument/2006/customXml" ds:itemID="{21DF6F77-47BF-4AF9-950D-3DB80832E9B8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C165E67D-729D-4AE0-B332-39B24BFF62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4fe221-8842-4594-802e-a4b65f322b84"/>
    <ds:schemaRef ds:uri="f6077470-6598-4353-b468-800e109d1d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4</vt:i4>
      </vt:variant>
    </vt:vector>
  </HeadingPairs>
  <TitlesOfParts>
    <vt:vector size="4" baseType="lpstr">
      <vt:lpstr>Support</vt:lpstr>
      <vt:lpstr>Paraiska</vt:lpstr>
      <vt:lpstr>Issimokejimo grafikas</vt:lpstr>
      <vt:lpstr>Darbu Sarasas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 Sanikov</dc:creator>
  <cp:keywords/>
  <dc:description/>
  <cp:lastModifiedBy>Egidijus Skvireckas</cp:lastModifiedBy>
  <cp:revision/>
  <dcterms:created xsi:type="dcterms:W3CDTF">2020-10-19T09:02:05Z</dcterms:created>
  <dcterms:modified xsi:type="dcterms:W3CDTF">2023-08-11T10:52:55Z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0x010100A5D8EF72A7B3A6459629093D1AE8D804</vt:lpwstr>
  </property>
</Properties>
</file>